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_analise de projeto\aprovados\erlda\rbm sam40 prio54 - pav cbuq\doc edital\"/>
    </mc:Choice>
  </mc:AlternateContent>
  <xr:revisionPtr revIDLastSave="0" documentId="13_ncr:1_{3BA5D083-78B1-42CC-A0ED-97620CEDDD96}" xr6:coauthVersionLast="47" xr6:coauthVersionMax="47" xr10:uidLastSave="{00000000-0000-0000-0000-000000000000}"/>
  <bookViews>
    <workbookView xWindow="-120" yWindow="-120" windowWidth="29040" windowHeight="15840" tabRatio="750" firstSheet="8" activeTab="8" xr2:uid="{00000000-000D-0000-FFFF-FFFF00000000}"/>
  </bookViews>
  <sheets>
    <sheet name="base_cron_sfm" sheetId="21" state="hidden" r:id="rId1"/>
    <sheet name="_base_cron_fp" sheetId="19" state="hidden" r:id="rId2"/>
    <sheet name="_prazos" sheetId="10" state="hidden" r:id="rId3"/>
    <sheet name="_ligantes" sheetId="26" state="hidden" r:id="rId4"/>
    <sheet name="_dren_comp" sheetId="25" state="hidden" r:id="rId5"/>
    <sheet name="_viab" sheetId="8" state="hidden" r:id="rId6"/>
    <sheet name="_traços" sheetId="13" state="hidden" r:id="rId7"/>
    <sheet name="cronograma SFM" sheetId="20" state="hidden" r:id="rId8"/>
    <sheet name="planilha de serviços" sheetId="1" r:id="rId9"/>
  </sheets>
  <externalReferences>
    <externalReference r:id="rId10"/>
    <externalReference r:id="rId11"/>
  </externalReferences>
  <definedNames>
    <definedName name="_xlnm._FilterDatabase" localSheetId="8" hidden="1">'planilha de serviços'!$A$6:$H$56</definedName>
    <definedName name="_xlnm.Print_Area" localSheetId="1">_base_cron_fp!$B$1:$P$13</definedName>
    <definedName name="_xlnm.Print_Area" localSheetId="4">_dren_comp!#REF!</definedName>
    <definedName name="_xlnm.Print_Area" localSheetId="2">_prazos!$A$1:$K$23</definedName>
    <definedName name="_xlnm.Print_Area" localSheetId="6">_traços!$A$1:$N$72</definedName>
    <definedName name="_xlnm.Print_Area" localSheetId="5">_viab!$A$1:$E$18</definedName>
    <definedName name="_xlnm.Print_Area" localSheetId="0">base_cron_sfm!$B$1:$P$13</definedName>
    <definedName name="_xlnm.Print_Area" localSheetId="7">'cronograma SFM'!$B$1:$T$55</definedName>
    <definedName name="_xlnm.Print_Area" localSheetId="8">'planilha de serviços'!$A$1:$H$57</definedName>
    <definedName name="d" localSheetId="1">[1]proposta!#REF!</definedName>
    <definedName name="d" localSheetId="4">[1]proposta!#REF!</definedName>
    <definedName name="d" localSheetId="3">[1]proposta!#REF!</definedName>
    <definedName name="d" localSheetId="0">[1]proposta!#REF!</definedName>
    <definedName name="d" localSheetId="7">[1]proposta!#REF!</definedName>
    <definedName name="d">[1]proposta!#REF!</definedName>
    <definedName name="j" localSheetId="5">[2]PROPOSTA!#REF!</definedName>
    <definedName name="j">'planilha de serviços'!#REF!</definedName>
    <definedName name="_xlnm.Print_Titles" localSheetId="4">_dren_comp!#REF!</definedName>
    <definedName name="_xlnm.Print_Titles" localSheetId="8">'planilha de serviços'!$5:$6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1" i="26" l="1"/>
  <c r="U31" i="26"/>
  <c r="V31" i="26" s="1"/>
  <c r="Q31" i="26"/>
  <c r="O31" i="26"/>
  <c r="X30" i="26"/>
  <c r="U30" i="26"/>
  <c r="V30" i="26" s="1"/>
  <c r="Q30" i="26"/>
  <c r="O30" i="26"/>
  <c r="AV29" i="26"/>
  <c r="X29" i="26"/>
  <c r="U29" i="26"/>
  <c r="V29" i="26" s="1"/>
  <c r="Q29" i="26"/>
  <c r="O29" i="26"/>
  <c r="AV28" i="26"/>
  <c r="X28" i="26"/>
  <c r="V28" i="26"/>
  <c r="U28" i="26"/>
  <c r="Q28" i="26"/>
  <c r="O28" i="26"/>
  <c r="AV26" i="26"/>
  <c r="X26" i="26"/>
  <c r="V26" i="26"/>
  <c r="U26" i="26"/>
  <c r="Q26" i="26"/>
  <c r="O26" i="26"/>
  <c r="V25" i="26"/>
  <c r="AV24" i="26"/>
  <c r="X24" i="26"/>
  <c r="U24" i="26"/>
  <c r="V24" i="26" s="1"/>
  <c r="Q24" i="26"/>
  <c r="O24" i="26"/>
  <c r="V23" i="26"/>
  <c r="Q23" i="26"/>
  <c r="AV22" i="26"/>
  <c r="X22" i="26"/>
  <c r="V22" i="26"/>
  <c r="U22" i="26"/>
  <c r="Q22" i="26"/>
  <c r="O22" i="26"/>
  <c r="AV21" i="26"/>
  <c r="X21" i="26"/>
  <c r="U21" i="26"/>
  <c r="V21" i="26" s="1"/>
  <c r="Q21" i="26"/>
  <c r="O21" i="26"/>
  <c r="AV20" i="26"/>
  <c r="X20" i="26"/>
  <c r="V20" i="26"/>
  <c r="U20" i="26"/>
  <c r="Q20" i="26"/>
  <c r="O20" i="26"/>
  <c r="AV19" i="26"/>
  <c r="X19" i="26"/>
  <c r="V19" i="26"/>
  <c r="U19" i="26"/>
  <c r="Q19" i="26"/>
  <c r="X18" i="26"/>
  <c r="U18" i="26"/>
  <c r="V18" i="26" s="1"/>
  <c r="Q18" i="26"/>
  <c r="O18" i="26"/>
  <c r="AV17" i="26"/>
  <c r="X17" i="26"/>
  <c r="U17" i="26"/>
  <c r="V17" i="26" s="1"/>
  <c r="Q17" i="26"/>
  <c r="O17" i="26"/>
  <c r="AV16" i="26"/>
  <c r="X16" i="26"/>
  <c r="U16" i="26"/>
  <c r="V16" i="26" s="1"/>
  <c r="Q16" i="26"/>
  <c r="O16" i="26"/>
  <c r="M16" i="26"/>
  <c r="AV15" i="26"/>
  <c r="X15" i="26"/>
  <c r="V15" i="26"/>
  <c r="U15" i="26"/>
  <c r="Q15" i="26"/>
  <c r="X14" i="26"/>
  <c r="U14" i="26"/>
  <c r="V14" i="26" s="1"/>
  <c r="Q14" i="26"/>
  <c r="O14" i="26"/>
  <c r="V13" i="26"/>
  <c r="Q13" i="26"/>
  <c r="X12" i="26"/>
  <c r="U12" i="26"/>
  <c r="V12" i="26" s="1"/>
  <c r="Q12" i="26"/>
  <c r="O12" i="26"/>
  <c r="M12" i="26"/>
  <c r="AZ10" i="26"/>
  <c r="AV12" i="26" s="1"/>
  <c r="AY10" i="26"/>
  <c r="AV31" i="26" s="1"/>
  <c r="AV14" i="26" l="1"/>
  <c r="AV18" i="26"/>
  <c r="AV30" i="26"/>
  <c r="H3" i="25" l="1"/>
  <c r="N3" i="25"/>
  <c r="T3" i="25"/>
  <c r="E4" i="25"/>
  <c r="F4" i="25"/>
  <c r="G4" i="25"/>
  <c r="H4" i="25"/>
  <c r="J4" i="25"/>
  <c r="L4" i="25"/>
  <c r="N4" i="25"/>
  <c r="O4" i="25"/>
  <c r="O3" i="25" s="1"/>
  <c r="E5" i="25"/>
  <c r="H5" i="25"/>
  <c r="L5" i="25"/>
  <c r="N5" i="25"/>
  <c r="O5" i="25"/>
  <c r="T5" i="25"/>
  <c r="F5" i="25" s="1"/>
  <c r="H6" i="25"/>
  <c r="N6" i="25"/>
  <c r="N18" i="25" s="1"/>
  <c r="J18" i="25" s="1"/>
  <c r="O6" i="25"/>
  <c r="O18" i="25" s="1"/>
  <c r="T6" i="25"/>
  <c r="E7" i="25"/>
  <c r="L7" i="25"/>
  <c r="R7" i="25"/>
  <c r="F7" i="25" s="1"/>
  <c r="E8" i="25"/>
  <c r="F8" i="25"/>
  <c r="G8" i="25"/>
  <c r="H8" i="25"/>
  <c r="L8" i="25"/>
  <c r="E9" i="25"/>
  <c r="H9" i="25"/>
  <c r="L9" i="25"/>
  <c r="R9" i="25"/>
  <c r="F9" i="25" s="1"/>
  <c r="E10" i="25"/>
  <c r="H10" i="25"/>
  <c r="L10" i="25"/>
  <c r="R10" i="25"/>
  <c r="F10" i="25" s="1"/>
  <c r="E11" i="25"/>
  <c r="H11" i="25"/>
  <c r="L11" i="25"/>
  <c r="P11" i="25"/>
  <c r="F11" i="25" s="1"/>
  <c r="R11" i="25"/>
  <c r="R23" i="25" s="1"/>
  <c r="W11" i="25"/>
  <c r="E12" i="25"/>
  <c r="F12" i="25"/>
  <c r="L12" i="25"/>
  <c r="N12" i="25"/>
  <c r="N11" i="25" s="1"/>
  <c r="P12" i="25"/>
  <c r="G12" i="25" s="1"/>
  <c r="E13" i="25"/>
  <c r="F13" i="25"/>
  <c r="L13" i="25"/>
  <c r="N13" i="25"/>
  <c r="N9" i="25" s="1"/>
  <c r="P13" i="25"/>
  <c r="G13" i="25" s="1"/>
  <c r="R13" i="25"/>
  <c r="W13" i="25"/>
  <c r="E14" i="25"/>
  <c r="L14" i="25"/>
  <c r="N14" i="25"/>
  <c r="N10" i="25" s="1"/>
  <c r="P14" i="25"/>
  <c r="G14" i="25" s="1"/>
  <c r="R14" i="25"/>
  <c r="W14" i="25"/>
  <c r="N15" i="25"/>
  <c r="P15" i="25"/>
  <c r="R15" i="25"/>
  <c r="H15" i="25" s="1"/>
  <c r="W15" i="25"/>
  <c r="G16" i="25"/>
  <c r="N16" i="25"/>
  <c r="J16" i="25" s="1"/>
  <c r="O16" i="25"/>
  <c r="L16" i="25" s="1"/>
  <c r="P16" i="25"/>
  <c r="H16" i="25" s="1"/>
  <c r="R16" i="25"/>
  <c r="F16" i="25" s="1"/>
  <c r="W16" i="25"/>
  <c r="H17" i="25"/>
  <c r="N17" i="25"/>
  <c r="J17" i="25" s="1"/>
  <c r="O17" i="25"/>
  <c r="G17" i="25" s="1"/>
  <c r="P17" i="25"/>
  <c r="R17" i="25"/>
  <c r="W17" i="25"/>
  <c r="H18" i="25"/>
  <c r="P18" i="25"/>
  <c r="R18" i="25"/>
  <c r="W18" i="25"/>
  <c r="E19" i="25"/>
  <c r="F19" i="25"/>
  <c r="L19" i="25"/>
  <c r="P19" i="25"/>
  <c r="G19" i="25" s="1"/>
  <c r="R19" i="25"/>
  <c r="E20" i="25"/>
  <c r="L20" i="25"/>
  <c r="P20" i="25"/>
  <c r="H20" i="25" s="1"/>
  <c r="R20" i="25"/>
  <c r="E21" i="25"/>
  <c r="L21" i="25"/>
  <c r="P21" i="25"/>
  <c r="G21" i="25" s="1"/>
  <c r="R21" i="25"/>
  <c r="E22" i="25"/>
  <c r="L22" i="25"/>
  <c r="P22" i="25"/>
  <c r="E23" i="25"/>
  <c r="L23" i="25"/>
  <c r="W23" i="25"/>
  <c r="E24" i="25"/>
  <c r="G24" i="25"/>
  <c r="H24" i="25"/>
  <c r="L24" i="25"/>
  <c r="P24" i="25"/>
  <c r="F24" i="25" s="1"/>
  <c r="R24" i="25"/>
  <c r="W24" i="25"/>
  <c r="E25" i="25"/>
  <c r="F25" i="25"/>
  <c r="L25" i="25"/>
  <c r="N25" i="25"/>
  <c r="J25" i="25" s="1"/>
  <c r="P25" i="25"/>
  <c r="G25" i="25" s="1"/>
  <c r="R25" i="25"/>
  <c r="W25" i="25"/>
  <c r="E26" i="25"/>
  <c r="L26" i="25"/>
  <c r="N26" i="25"/>
  <c r="J26" i="25" s="1"/>
  <c r="P26" i="25"/>
  <c r="G26" i="25" s="1"/>
  <c r="R26" i="25"/>
  <c r="W26" i="25"/>
  <c r="E27" i="25"/>
  <c r="L27" i="25"/>
  <c r="N27" i="25"/>
  <c r="R27" i="25" s="1"/>
  <c r="O27" i="25"/>
  <c r="T27" i="25"/>
  <c r="N28" i="25"/>
  <c r="R28" i="25" s="1"/>
  <c r="O28" i="25"/>
  <c r="L28" i="25" s="1"/>
  <c r="T28" i="25"/>
  <c r="N29" i="25"/>
  <c r="O29" i="25"/>
  <c r="T29" i="25"/>
  <c r="E30" i="25"/>
  <c r="H30" i="25"/>
  <c r="L30" i="25"/>
  <c r="N30" i="25"/>
  <c r="O30" i="25"/>
  <c r="R30" i="25"/>
  <c r="F30" i="25" s="1"/>
  <c r="T30" i="25"/>
  <c r="E31" i="25"/>
  <c r="L31" i="25"/>
  <c r="N31" i="25"/>
  <c r="J31" i="25" s="1"/>
  <c r="O31" i="25"/>
  <c r="G31" i="25" s="1"/>
  <c r="R31" i="25"/>
  <c r="W31" i="25" s="1"/>
  <c r="W36" i="25" s="1"/>
  <c r="T31" i="25"/>
  <c r="F31" i="25" s="1"/>
  <c r="E32" i="25"/>
  <c r="G32" i="25"/>
  <c r="H32" i="25"/>
  <c r="L32" i="25"/>
  <c r="R32" i="25"/>
  <c r="F32" i="25" s="1"/>
  <c r="E33" i="25"/>
  <c r="F33" i="25"/>
  <c r="G33" i="25"/>
  <c r="H33" i="25"/>
  <c r="L33" i="25"/>
  <c r="R33" i="25"/>
  <c r="E34" i="25"/>
  <c r="F34" i="25"/>
  <c r="G34" i="25"/>
  <c r="H34" i="25"/>
  <c r="L34" i="25"/>
  <c r="R34" i="25"/>
  <c r="E35" i="25"/>
  <c r="G35" i="25"/>
  <c r="H35" i="25"/>
  <c r="L35" i="25"/>
  <c r="R35" i="25"/>
  <c r="F35" i="25" s="1"/>
  <c r="E36" i="25"/>
  <c r="F36" i="25"/>
  <c r="G36" i="25"/>
  <c r="L36" i="25"/>
  <c r="N36" i="25"/>
  <c r="J36" i="25" s="1"/>
  <c r="R36" i="25"/>
  <c r="H36" i="25" s="1"/>
  <c r="E37" i="25"/>
  <c r="F37" i="25"/>
  <c r="L37" i="25"/>
  <c r="N37" i="25"/>
  <c r="J37" i="25" s="1"/>
  <c r="R37" i="25"/>
  <c r="G37" i="25" s="1"/>
  <c r="W37" i="25"/>
  <c r="E38" i="25"/>
  <c r="L38" i="25"/>
  <c r="N38" i="25"/>
  <c r="N33" i="25" s="1"/>
  <c r="R38" i="25"/>
  <c r="H38" i="25" s="1"/>
  <c r="W38" i="25"/>
  <c r="E39" i="25"/>
  <c r="L39" i="25"/>
  <c r="N39" i="25"/>
  <c r="R39" i="25"/>
  <c r="G39" i="25" s="1"/>
  <c r="E40" i="25"/>
  <c r="G40" i="25"/>
  <c r="H40" i="25"/>
  <c r="L40" i="25"/>
  <c r="N40" i="25"/>
  <c r="N35" i="25" s="1"/>
  <c r="R40" i="25"/>
  <c r="F40" i="25" s="1"/>
  <c r="E41" i="25"/>
  <c r="F41" i="25"/>
  <c r="G41" i="25"/>
  <c r="H41" i="25"/>
  <c r="J41" i="25"/>
  <c r="L41" i="25"/>
  <c r="N41" i="25"/>
  <c r="R41" i="25"/>
  <c r="W41" i="25"/>
  <c r="E42" i="25"/>
  <c r="F42" i="25"/>
  <c r="G42" i="25"/>
  <c r="H42" i="25"/>
  <c r="J42" i="25"/>
  <c r="L42" i="25"/>
  <c r="N42" i="25"/>
  <c r="R42" i="25"/>
  <c r="W42" i="25"/>
  <c r="E43" i="25"/>
  <c r="G43" i="25"/>
  <c r="H43" i="25"/>
  <c r="L43" i="25"/>
  <c r="N43" i="25"/>
  <c r="R43" i="25"/>
  <c r="W43" i="25" s="1"/>
  <c r="N44" i="25"/>
  <c r="J44" i="25" s="1"/>
  <c r="O44" i="25"/>
  <c r="L44" i="25" s="1"/>
  <c r="R44" i="25"/>
  <c r="H44" i="25" s="1"/>
  <c r="T44" i="25"/>
  <c r="F44" i="25" s="1"/>
  <c r="W44" i="25"/>
  <c r="H45" i="25"/>
  <c r="N45" i="25"/>
  <c r="J45" i="25" s="1"/>
  <c r="O45" i="25"/>
  <c r="G45" i="25" s="1"/>
  <c r="R45" i="25"/>
  <c r="T45" i="25"/>
  <c r="W45" i="25"/>
  <c r="E46" i="25"/>
  <c r="H46" i="25"/>
  <c r="L46" i="25"/>
  <c r="N46" i="25"/>
  <c r="O46" i="25"/>
  <c r="Q46" i="25"/>
  <c r="F46" i="25" s="1"/>
  <c r="R46" i="25"/>
  <c r="T46" i="25"/>
  <c r="W46" i="25"/>
  <c r="J46" i="25" s="1"/>
  <c r="N47" i="25"/>
  <c r="O47" i="25"/>
  <c r="J47" i="25" s="1"/>
  <c r="R47" i="25"/>
  <c r="H47" i="25" s="1"/>
  <c r="T47" i="25"/>
  <c r="W47" i="25"/>
  <c r="E48" i="25"/>
  <c r="H48" i="25"/>
  <c r="J48" i="25"/>
  <c r="L48" i="25"/>
  <c r="N48" i="25"/>
  <c r="O48" i="25"/>
  <c r="R48" i="25"/>
  <c r="T48" i="25"/>
  <c r="F48" i="25" s="1"/>
  <c r="W48" i="25"/>
  <c r="E49" i="25"/>
  <c r="L49" i="25"/>
  <c r="P49" i="25"/>
  <c r="H49" i="25" s="1"/>
  <c r="E50" i="25"/>
  <c r="L50" i="25"/>
  <c r="P50" i="25"/>
  <c r="G50" i="25" s="1"/>
  <c r="R50" i="25"/>
  <c r="F50" i="25" s="1"/>
  <c r="O51" i="25"/>
  <c r="L51" i="25" s="1"/>
  <c r="P51" i="25"/>
  <c r="Q51" i="25"/>
  <c r="T51" i="25"/>
  <c r="E52" i="25"/>
  <c r="H52" i="25"/>
  <c r="L52" i="25"/>
  <c r="P52" i="25"/>
  <c r="R52" i="25"/>
  <c r="F52" i="25" s="1"/>
  <c r="E53" i="25"/>
  <c r="G53" i="25"/>
  <c r="H53" i="25"/>
  <c r="L53" i="25"/>
  <c r="N53" i="25"/>
  <c r="P53" i="25"/>
  <c r="F53" i="25" s="1"/>
  <c r="R53" i="25"/>
  <c r="E54" i="25"/>
  <c r="F54" i="25"/>
  <c r="G54" i="25"/>
  <c r="L54" i="25"/>
  <c r="N54" i="25"/>
  <c r="N49" i="25" s="1"/>
  <c r="J49" i="25" s="1"/>
  <c r="R54" i="25"/>
  <c r="R49" i="25" s="1"/>
  <c r="E55" i="25"/>
  <c r="F55" i="25"/>
  <c r="L55" i="25"/>
  <c r="N55" i="25"/>
  <c r="J55" i="25" s="1"/>
  <c r="R55" i="25"/>
  <c r="G55" i="25" s="1"/>
  <c r="W55" i="25"/>
  <c r="N56" i="25"/>
  <c r="N51" i="25" s="1"/>
  <c r="O56" i="25"/>
  <c r="Q56" i="25"/>
  <c r="H56" i="25" s="1"/>
  <c r="R56" i="25"/>
  <c r="R51" i="25" s="1"/>
  <c r="E57" i="25"/>
  <c r="F57" i="25"/>
  <c r="G57" i="25"/>
  <c r="H57" i="25"/>
  <c r="J57" i="25"/>
  <c r="L57" i="25"/>
  <c r="N57" i="25"/>
  <c r="N52" i="25" s="1"/>
  <c r="J52" i="25" s="1"/>
  <c r="R57" i="25"/>
  <c r="W57" i="25"/>
  <c r="E58" i="25"/>
  <c r="F58" i="25"/>
  <c r="G58" i="25"/>
  <c r="H58" i="25"/>
  <c r="J58" i="25"/>
  <c r="L58" i="25"/>
  <c r="N58" i="25"/>
  <c r="R58" i="25"/>
  <c r="W58" i="25"/>
  <c r="E59" i="25"/>
  <c r="G59" i="25"/>
  <c r="H59" i="25"/>
  <c r="L59" i="25"/>
  <c r="N59" i="25"/>
  <c r="P59" i="25"/>
  <c r="F59" i="25" s="1"/>
  <c r="R59" i="25"/>
  <c r="W59" i="25" s="1"/>
  <c r="E60" i="25"/>
  <c r="L60" i="25"/>
  <c r="N60" i="25"/>
  <c r="R60" i="25"/>
  <c r="W60" i="25" s="1"/>
  <c r="E61" i="25"/>
  <c r="L61" i="25"/>
  <c r="N61" i="25"/>
  <c r="J61" i="25" s="1"/>
  <c r="R61" i="25"/>
  <c r="G61" i="25" s="1"/>
  <c r="W61" i="25"/>
  <c r="E62" i="25"/>
  <c r="G62" i="25"/>
  <c r="H62" i="25"/>
  <c r="L62" i="25"/>
  <c r="N62" i="25"/>
  <c r="J62" i="25" s="1"/>
  <c r="R62" i="25"/>
  <c r="F62" i="25" s="1"/>
  <c r="W62" i="25"/>
  <c r="E63" i="25"/>
  <c r="F63" i="25"/>
  <c r="G63" i="25"/>
  <c r="H63" i="25"/>
  <c r="J63" i="25"/>
  <c r="L63" i="25"/>
  <c r="N63" i="25"/>
  <c r="R63" i="25"/>
  <c r="W63" i="25"/>
  <c r="E64" i="25"/>
  <c r="F64" i="25"/>
  <c r="G64" i="25"/>
  <c r="H64" i="25"/>
  <c r="J64" i="25"/>
  <c r="L64" i="25"/>
  <c r="N64" i="25"/>
  <c r="E65" i="25"/>
  <c r="F65" i="25"/>
  <c r="G65" i="25"/>
  <c r="H65" i="25"/>
  <c r="J65" i="25"/>
  <c r="L65" i="25"/>
  <c r="N65" i="25"/>
  <c r="E66" i="25"/>
  <c r="F66" i="25"/>
  <c r="G66" i="25"/>
  <c r="H66" i="25"/>
  <c r="L66" i="25"/>
  <c r="N66" i="25"/>
  <c r="J66" i="25" s="1"/>
  <c r="E67" i="25"/>
  <c r="F67" i="25"/>
  <c r="G67" i="25"/>
  <c r="H67" i="25"/>
  <c r="L67" i="25"/>
  <c r="N67" i="25"/>
  <c r="J67" i="25" s="1"/>
  <c r="E68" i="25"/>
  <c r="F68" i="25"/>
  <c r="G68" i="25"/>
  <c r="H68" i="25"/>
  <c r="J68" i="25"/>
  <c r="L68" i="25"/>
  <c r="N68" i="25"/>
  <c r="E69" i="25"/>
  <c r="F69" i="25"/>
  <c r="G69" i="25"/>
  <c r="H69" i="25"/>
  <c r="L69" i="25"/>
  <c r="N69" i="25"/>
  <c r="J69" i="25" s="1"/>
  <c r="E70" i="25"/>
  <c r="F70" i="25"/>
  <c r="G70" i="25"/>
  <c r="H70" i="25"/>
  <c r="J70" i="25"/>
  <c r="L70" i="25"/>
  <c r="E71" i="25"/>
  <c r="F71" i="25"/>
  <c r="G71" i="25"/>
  <c r="H71" i="25"/>
  <c r="J71" i="25"/>
  <c r="L71" i="25"/>
  <c r="E72" i="25"/>
  <c r="F72" i="25"/>
  <c r="G72" i="25"/>
  <c r="H72" i="25"/>
  <c r="J72" i="25"/>
  <c r="L72" i="25"/>
  <c r="E73" i="25"/>
  <c r="F73" i="25"/>
  <c r="G73" i="25"/>
  <c r="H73" i="25"/>
  <c r="J73" i="25"/>
  <c r="L73" i="25"/>
  <c r="E74" i="25"/>
  <c r="F74" i="25"/>
  <c r="G74" i="25"/>
  <c r="H74" i="25"/>
  <c r="J74" i="25"/>
  <c r="L74" i="25"/>
  <c r="E75" i="25"/>
  <c r="F75" i="25"/>
  <c r="G75" i="25"/>
  <c r="H75" i="25"/>
  <c r="J75" i="25"/>
  <c r="L75" i="25"/>
  <c r="E76" i="25"/>
  <c r="F76" i="25"/>
  <c r="G76" i="25"/>
  <c r="H76" i="25"/>
  <c r="J76" i="25"/>
  <c r="L76" i="25"/>
  <c r="E77" i="25"/>
  <c r="F77" i="25"/>
  <c r="G77" i="25"/>
  <c r="H77" i="25"/>
  <c r="J77" i="25"/>
  <c r="L77" i="25"/>
  <c r="E78" i="25"/>
  <c r="F78" i="25"/>
  <c r="G78" i="25"/>
  <c r="H78" i="25"/>
  <c r="J78" i="25"/>
  <c r="L78" i="25"/>
  <c r="E79" i="25"/>
  <c r="F79" i="25"/>
  <c r="G79" i="25"/>
  <c r="H79" i="25"/>
  <c r="J79" i="25"/>
  <c r="L79" i="25"/>
  <c r="E80" i="25"/>
  <c r="F80" i="25"/>
  <c r="G80" i="25"/>
  <c r="H80" i="25"/>
  <c r="J80" i="25"/>
  <c r="L80" i="25"/>
  <c r="E81" i="25"/>
  <c r="F81" i="25"/>
  <c r="G81" i="25"/>
  <c r="H81" i="25"/>
  <c r="J81" i="25"/>
  <c r="L81" i="25"/>
  <c r="E82" i="25"/>
  <c r="F82" i="25"/>
  <c r="G82" i="25"/>
  <c r="H82" i="25"/>
  <c r="J82" i="25"/>
  <c r="L82" i="25"/>
  <c r="J56" i="25" l="1"/>
  <c r="F49" i="25"/>
  <c r="G49" i="25"/>
  <c r="J51" i="25"/>
  <c r="N7" i="25"/>
  <c r="J11" i="25"/>
  <c r="N23" i="25"/>
  <c r="F28" i="25"/>
  <c r="G28" i="25"/>
  <c r="W28" i="25"/>
  <c r="W33" i="25" s="1"/>
  <c r="H28" i="25"/>
  <c r="J33" i="25"/>
  <c r="H51" i="25"/>
  <c r="N21" i="25"/>
  <c r="J21" i="25" s="1"/>
  <c r="J9" i="25"/>
  <c r="E18" i="25"/>
  <c r="F18" i="25"/>
  <c r="G18" i="25"/>
  <c r="L18" i="25"/>
  <c r="F27" i="25"/>
  <c r="G27" i="25"/>
  <c r="W27" i="25"/>
  <c r="W32" i="25" s="1"/>
  <c r="H27" i="25"/>
  <c r="J27" i="25"/>
  <c r="E3" i="25"/>
  <c r="F3" i="25"/>
  <c r="G3" i="25"/>
  <c r="L3" i="25"/>
  <c r="O15" i="25"/>
  <c r="N22" i="25"/>
  <c r="J10" i="25"/>
  <c r="J3" i="25"/>
  <c r="F22" i="25"/>
  <c r="F61" i="25"/>
  <c r="W56" i="25"/>
  <c r="G56" i="25"/>
  <c r="H55" i="25"/>
  <c r="J54" i="25"/>
  <c r="G51" i="25"/>
  <c r="H50" i="25"/>
  <c r="G47" i="25"/>
  <c r="F45" i="25"/>
  <c r="W40" i="25"/>
  <c r="F39" i="25"/>
  <c r="G38" i="25"/>
  <c r="H37" i="25"/>
  <c r="N34" i="25"/>
  <c r="H31" i="25"/>
  <c r="J28" i="25"/>
  <c r="F26" i="25"/>
  <c r="H25" i="25"/>
  <c r="P23" i="25"/>
  <c r="R22" i="25"/>
  <c r="F21" i="25"/>
  <c r="G20" i="25"/>
  <c r="H19" i="25"/>
  <c r="F17" i="25"/>
  <c r="F14" i="25"/>
  <c r="H13" i="25"/>
  <c r="H12" i="25"/>
  <c r="L6" i="25"/>
  <c r="J59" i="25"/>
  <c r="F56" i="25"/>
  <c r="H54" i="25"/>
  <c r="J53" i="25"/>
  <c r="F51" i="25"/>
  <c r="F47" i="25"/>
  <c r="E45" i="25"/>
  <c r="J43" i="25"/>
  <c r="W39" i="25"/>
  <c r="J39" i="25" s="1"/>
  <c r="F38" i="25"/>
  <c r="R29" i="25"/>
  <c r="G29" i="25" s="1"/>
  <c r="E29" i="25"/>
  <c r="F20" i="25"/>
  <c r="E17" i="25"/>
  <c r="H7" i="25"/>
  <c r="J6" i="25"/>
  <c r="E56" i="25"/>
  <c r="E51" i="25"/>
  <c r="E47" i="25"/>
  <c r="G44" i="25"/>
  <c r="N32" i="25"/>
  <c r="J32" i="25" s="1"/>
  <c r="G7" i="25"/>
  <c r="J5" i="25"/>
  <c r="G11" i="25"/>
  <c r="G10" i="25"/>
  <c r="G9" i="25"/>
  <c r="G6" i="25"/>
  <c r="P60" i="25"/>
  <c r="J60" i="25" s="1"/>
  <c r="W54" i="25"/>
  <c r="G52" i="25"/>
  <c r="G46" i="25"/>
  <c r="L45" i="25"/>
  <c r="E44" i="25"/>
  <c r="F43" i="25"/>
  <c r="J40" i="25"/>
  <c r="W30" i="25"/>
  <c r="G30" i="25"/>
  <c r="L29" i="25"/>
  <c r="E28" i="25"/>
  <c r="L17" i="25"/>
  <c r="E16" i="25"/>
  <c r="F6" i="25"/>
  <c r="G5" i="25"/>
  <c r="L56" i="25"/>
  <c r="N50" i="25"/>
  <c r="J50" i="25" s="1"/>
  <c r="G48" i="25"/>
  <c r="L47" i="25"/>
  <c r="J14" i="25"/>
  <c r="E6" i="25"/>
  <c r="H61" i="25"/>
  <c r="H39" i="25"/>
  <c r="J38" i="25"/>
  <c r="H26" i="25"/>
  <c r="H21" i="25"/>
  <c r="H14" i="25"/>
  <c r="N8" i="25"/>
  <c r="N24" i="25"/>
  <c r="J24" i="25" s="1"/>
  <c r="J13" i="25"/>
  <c r="J12" i="25"/>
  <c r="N20" i="25" l="1"/>
  <c r="J20" i="25" s="1"/>
  <c r="J8" i="25"/>
  <c r="G22" i="25"/>
  <c r="H22" i="25"/>
  <c r="F23" i="25"/>
  <c r="G23" i="25"/>
  <c r="H23" i="25"/>
  <c r="J22" i="25"/>
  <c r="J23" i="25"/>
  <c r="W35" i="25"/>
  <c r="J35" i="25" s="1"/>
  <c r="J30" i="25"/>
  <c r="F60" i="25"/>
  <c r="G60" i="25"/>
  <c r="H60" i="25"/>
  <c r="E15" i="25"/>
  <c r="F15" i="25"/>
  <c r="G15" i="25"/>
  <c r="J15" i="25"/>
  <c r="L15" i="25"/>
  <c r="W29" i="25"/>
  <c r="W34" i="25" s="1"/>
  <c r="H29" i="25"/>
  <c r="F29" i="25"/>
  <c r="N19" i="25"/>
  <c r="J19" i="25" s="1"/>
  <c r="J7" i="25"/>
  <c r="J34" i="25"/>
  <c r="J29" i="25" l="1"/>
  <c r="A2" i="21"/>
  <c r="S2" i="21"/>
  <c r="A3" i="21"/>
  <c r="S3" i="21"/>
  <c r="A4" i="21"/>
  <c r="S4" i="21"/>
  <c r="A5" i="21"/>
  <c r="S5" i="21"/>
  <c r="A6" i="21"/>
  <c r="S6" i="21"/>
  <c r="A7" i="21"/>
  <c r="S7" i="21"/>
  <c r="A8" i="21"/>
  <c r="S8" i="21"/>
  <c r="A9" i="21"/>
  <c r="S9" i="21"/>
  <c r="A10" i="21"/>
  <c r="S10" i="21"/>
  <c r="A11" i="21"/>
  <c r="S11" i="21"/>
  <c r="A12" i="21"/>
  <c r="S12" i="21"/>
  <c r="A15" i="21"/>
  <c r="S15" i="21"/>
  <c r="A16" i="21"/>
  <c r="S16" i="21"/>
  <c r="A17" i="21"/>
  <c r="S17" i="21"/>
  <c r="A18" i="21"/>
  <c r="S18" i="21"/>
  <c r="A19" i="21"/>
  <c r="S19" i="21"/>
  <c r="A20" i="21"/>
  <c r="S20" i="21"/>
  <c r="A21" i="21"/>
  <c r="S21" i="21"/>
  <c r="A22" i="21"/>
  <c r="S22" i="21"/>
  <c r="A23" i="21"/>
  <c r="S23" i="21"/>
  <c r="A24" i="21"/>
  <c r="S24" i="21"/>
  <c r="A25" i="21"/>
  <c r="S25" i="21"/>
  <c r="A28" i="21"/>
  <c r="S28" i="21"/>
  <c r="A29" i="21"/>
  <c r="S29" i="21"/>
  <c r="A30" i="21"/>
  <c r="S30" i="21"/>
  <c r="A31" i="21"/>
  <c r="S31" i="21"/>
  <c r="A32" i="21"/>
  <c r="S32" i="21"/>
  <c r="A33" i="21"/>
  <c r="S33" i="21"/>
  <c r="A34" i="21"/>
  <c r="S34" i="21"/>
  <c r="A35" i="21"/>
  <c r="S35" i="21"/>
  <c r="A36" i="21"/>
  <c r="S36" i="21"/>
  <c r="A37" i="21"/>
  <c r="S37" i="21"/>
  <c r="A38" i="21"/>
  <c r="S38" i="21"/>
  <c r="A41" i="21"/>
  <c r="S41" i="21"/>
  <c r="A42" i="21"/>
  <c r="S42" i="21"/>
  <c r="A43" i="21"/>
  <c r="S43" i="21"/>
  <c r="A44" i="21"/>
  <c r="S44" i="21"/>
  <c r="A45" i="21"/>
  <c r="S45" i="21"/>
  <c r="A46" i="21"/>
  <c r="S46" i="21"/>
  <c r="A47" i="21"/>
  <c r="S47" i="21"/>
  <c r="A48" i="21"/>
  <c r="S48" i="21"/>
  <c r="A49" i="21"/>
  <c r="S49" i="21"/>
  <c r="A50" i="21"/>
  <c r="S50" i="21"/>
  <c r="A51" i="21"/>
  <c r="S51" i="21"/>
  <c r="A54" i="21"/>
  <c r="S54" i="21"/>
  <c r="A55" i="21"/>
  <c r="S55" i="21"/>
  <c r="A56" i="21"/>
  <c r="S56" i="21"/>
  <c r="A57" i="21"/>
  <c r="S57" i="21"/>
  <c r="A58" i="21"/>
  <c r="S58" i="21"/>
  <c r="A59" i="21"/>
  <c r="S59" i="21"/>
  <c r="A60" i="21"/>
  <c r="S60" i="21"/>
  <c r="A61" i="21"/>
  <c r="S61" i="21"/>
  <c r="A62" i="21"/>
  <c r="S62" i="21"/>
  <c r="A63" i="21"/>
  <c r="S63" i="21"/>
  <c r="A64" i="21"/>
  <c r="S64" i="21"/>
  <c r="A67" i="21"/>
  <c r="S67" i="21"/>
  <c r="A68" i="21"/>
  <c r="S68" i="21"/>
  <c r="A69" i="21"/>
  <c r="S69" i="21"/>
  <c r="A70" i="21"/>
  <c r="S70" i="21"/>
  <c r="A71" i="21"/>
  <c r="S71" i="21"/>
  <c r="A72" i="21"/>
  <c r="S72" i="21"/>
  <c r="A73" i="21"/>
  <c r="S73" i="21"/>
  <c r="A74" i="21"/>
  <c r="S74" i="21"/>
  <c r="A75" i="21"/>
  <c r="S75" i="21"/>
  <c r="A76" i="21"/>
  <c r="S76" i="21"/>
  <c r="A77" i="21"/>
  <c r="S77" i="21"/>
  <c r="A80" i="21"/>
  <c r="S80" i="21"/>
  <c r="A81" i="21"/>
  <c r="S81" i="21"/>
  <c r="A82" i="21"/>
  <c r="S82" i="21"/>
  <c r="A83" i="21"/>
  <c r="S83" i="21"/>
  <c r="A84" i="21"/>
  <c r="S84" i="21"/>
  <c r="A85" i="21"/>
  <c r="S85" i="21"/>
  <c r="A86" i="21"/>
  <c r="S86" i="21"/>
  <c r="A87" i="21"/>
  <c r="S87" i="21"/>
  <c r="A88" i="21"/>
  <c r="S88" i="21"/>
  <c r="A89" i="21"/>
  <c r="S89" i="21"/>
  <c r="A90" i="21"/>
  <c r="S90" i="21"/>
  <c r="A93" i="21"/>
  <c r="S93" i="21"/>
  <c r="A94" i="21"/>
  <c r="S94" i="21"/>
  <c r="A95" i="21"/>
  <c r="S95" i="21"/>
  <c r="A96" i="21"/>
  <c r="S96" i="21"/>
  <c r="A97" i="21"/>
  <c r="S97" i="21"/>
  <c r="A98" i="21"/>
  <c r="S98" i="21"/>
  <c r="A99" i="21"/>
  <c r="S99" i="21"/>
  <c r="A100" i="21"/>
  <c r="S100" i="21"/>
  <c r="A101" i="21"/>
  <c r="S101" i="21"/>
  <c r="A102" i="21"/>
  <c r="S102" i="21"/>
  <c r="A103" i="21"/>
  <c r="S103" i="21"/>
  <c r="A106" i="21"/>
  <c r="S106" i="21"/>
  <c r="A107" i="21"/>
  <c r="S107" i="21"/>
  <c r="A108" i="21"/>
  <c r="S108" i="21"/>
  <c r="A109" i="21"/>
  <c r="S109" i="21"/>
  <c r="A110" i="21"/>
  <c r="S110" i="21"/>
  <c r="A111" i="21"/>
  <c r="S111" i="21"/>
  <c r="A112" i="21"/>
  <c r="S112" i="21"/>
  <c r="A113" i="21"/>
  <c r="S113" i="21"/>
  <c r="A114" i="21"/>
  <c r="S114" i="21"/>
  <c r="A115" i="21"/>
  <c r="S115" i="21"/>
  <c r="A116" i="21"/>
  <c r="S116" i="21"/>
  <c r="A119" i="21"/>
  <c r="S119" i="21"/>
  <c r="A120" i="21"/>
  <c r="S120" i="21"/>
  <c r="A121" i="21"/>
  <c r="S121" i="21"/>
  <c r="A122" i="21"/>
  <c r="S122" i="21"/>
  <c r="A123" i="21"/>
  <c r="S123" i="21"/>
  <c r="A124" i="21"/>
  <c r="S124" i="21"/>
  <c r="A125" i="21"/>
  <c r="S125" i="21"/>
  <c r="A126" i="21"/>
  <c r="S126" i="21"/>
  <c r="A127" i="21"/>
  <c r="S127" i="21"/>
  <c r="A128" i="21"/>
  <c r="S128" i="21"/>
  <c r="A129" i="21"/>
  <c r="S129" i="21"/>
  <c r="S131" i="21"/>
  <c r="N24" i="20"/>
  <c r="F24" i="20"/>
  <c r="A19" i="20"/>
  <c r="A18" i="20"/>
  <c r="N18" i="20" s="1"/>
  <c r="N17" i="20"/>
  <c r="A17" i="20"/>
  <c r="F17" i="20" s="1"/>
  <c r="A16" i="20"/>
  <c r="N15" i="20"/>
  <c r="A15" i="20"/>
  <c r="F15" i="20" s="1"/>
  <c r="A14" i="20"/>
  <c r="N13" i="20"/>
  <c r="K13" i="20"/>
  <c r="J13" i="20"/>
  <c r="A13" i="20"/>
  <c r="A12" i="20"/>
  <c r="F12" i="20" s="1"/>
  <c r="A11" i="20"/>
  <c r="L11" i="20" s="1"/>
  <c r="P10" i="20"/>
  <c r="A10" i="20"/>
  <c r="N10" i="20" s="1"/>
  <c r="O9" i="20"/>
  <c r="A9" i="20"/>
  <c r="N9" i="20" s="1"/>
  <c r="Q6" i="20"/>
  <c r="Q14" i="20" s="1"/>
  <c r="P6" i="20"/>
  <c r="P14" i="20" s="1"/>
  <c r="O6" i="20"/>
  <c r="O16" i="20" s="1"/>
  <c r="N6" i="20"/>
  <c r="N14" i="20" s="1"/>
  <c r="M6" i="20"/>
  <c r="L6" i="20"/>
  <c r="L17" i="20" s="1"/>
  <c r="K6" i="20"/>
  <c r="J6" i="20"/>
  <c r="I6" i="20"/>
  <c r="H6" i="20"/>
  <c r="G6" i="20"/>
  <c r="G11" i="20" s="1"/>
  <c r="F6" i="20"/>
  <c r="K3" i="20"/>
  <c r="I3" i="20"/>
  <c r="M3" i="20" s="1"/>
  <c r="F7" i="20" s="1"/>
  <c r="F8" i="20" s="1"/>
  <c r="J15" i="20" l="1"/>
  <c r="K15" i="20"/>
  <c r="H14" i="20"/>
  <c r="I10" i="20"/>
  <c r="K10" i="20"/>
  <c r="F10" i="20"/>
  <c r="J11" i="20"/>
  <c r="I13" i="20"/>
  <c r="P8" i="20"/>
  <c r="F9" i="20"/>
  <c r="L10" i="20"/>
  <c r="K14" i="20"/>
  <c r="K16" i="20"/>
  <c r="F14" i="20"/>
  <c r="L9" i="20"/>
  <c r="O10" i="20"/>
  <c r="F13" i="20"/>
  <c r="L14" i="20"/>
  <c r="G13" i="20"/>
  <c r="I11" i="20"/>
  <c r="G10" i="20"/>
  <c r="Q8" i="20"/>
  <c r="N19" i="20"/>
  <c r="M15" i="20"/>
  <c r="M17" i="20"/>
  <c r="M18" i="20"/>
  <c r="M24" i="20"/>
  <c r="M19" i="20"/>
  <c r="M13" i="20"/>
  <c r="G12" i="20"/>
  <c r="I24" i="20"/>
  <c r="I19" i="20"/>
  <c r="I16" i="20"/>
  <c r="I17" i="20"/>
  <c r="I9" i="20"/>
  <c r="G9" i="20"/>
  <c r="P9" i="20"/>
  <c r="J16" i="20"/>
  <c r="J17" i="20"/>
  <c r="J18" i="20"/>
  <c r="J10" i="20"/>
  <c r="L15" i="20"/>
  <c r="H17" i="20"/>
  <c r="N12" i="20"/>
  <c r="P18" i="20"/>
  <c r="P24" i="20"/>
  <c r="P19" i="20"/>
  <c r="P15" i="20"/>
  <c r="P16" i="20"/>
  <c r="M11" i="20"/>
  <c r="P12" i="20"/>
  <c r="M14" i="20"/>
  <c r="H12" i="20"/>
  <c r="K17" i="20"/>
  <c r="K18" i="20"/>
  <c r="K24" i="20"/>
  <c r="K19" i="20"/>
  <c r="K11" i="20"/>
  <c r="G7" i="20"/>
  <c r="G8" i="20" s="1"/>
  <c r="H7" i="20" s="1"/>
  <c r="H8" i="20" s="1"/>
  <c r="I7" i="20" s="1"/>
  <c r="I8" i="20" s="1"/>
  <c r="J7" i="20" s="1"/>
  <c r="J8" i="20" s="1"/>
  <c r="K7" i="20" s="1"/>
  <c r="K8" i="20" s="1"/>
  <c r="L7" i="20" s="1"/>
  <c r="L8" i="20" s="1"/>
  <c r="M7" i="20" s="1"/>
  <c r="M8" i="20" s="1"/>
  <c r="N7" i="20" s="1"/>
  <c r="N8" i="20" s="1"/>
  <c r="P7" i="20"/>
  <c r="J9" i="20"/>
  <c r="M10" i="20"/>
  <c r="P11" i="20"/>
  <c r="J12" i="20"/>
  <c r="L13" i="20"/>
  <c r="L16" i="20"/>
  <c r="J19" i="20"/>
  <c r="M9" i="20"/>
  <c r="H18" i="20"/>
  <c r="H24" i="20"/>
  <c r="H19" i="20"/>
  <c r="H15" i="20"/>
  <c r="H16" i="20"/>
  <c r="Q24" i="20"/>
  <c r="Q19" i="20"/>
  <c r="Q16" i="20"/>
  <c r="Q17" i="20"/>
  <c r="Q9" i="20"/>
  <c r="N11" i="20"/>
  <c r="Q12" i="20"/>
  <c r="Q18" i="20"/>
  <c r="O7" i="20"/>
  <c r="H9" i="20"/>
  <c r="F11" i="20"/>
  <c r="O11" i="20"/>
  <c r="I12" i="20"/>
  <c r="L18" i="20"/>
  <c r="L24" i="20"/>
  <c r="L19" i="20"/>
  <c r="L12" i="20"/>
  <c r="Q7" i="20"/>
  <c r="O8" i="20"/>
  <c r="K9" i="20"/>
  <c r="H11" i="20"/>
  <c r="Q11" i="20"/>
  <c r="K12" i="20"/>
  <c r="I14" i="20"/>
  <c r="Q15" i="20"/>
  <c r="M16" i="20"/>
  <c r="M12" i="20"/>
  <c r="O13" i="20"/>
  <c r="J14" i="20"/>
  <c r="P17" i="20"/>
  <c r="P13" i="20"/>
  <c r="G17" i="20"/>
  <c r="G18" i="20"/>
  <c r="G24" i="20"/>
  <c r="G19" i="20"/>
  <c r="G14" i="20"/>
  <c r="G15" i="20"/>
  <c r="O17" i="20"/>
  <c r="O18" i="20"/>
  <c r="O24" i="20"/>
  <c r="O19" i="20"/>
  <c r="O14" i="20"/>
  <c r="O15" i="20"/>
  <c r="H10" i="20"/>
  <c r="Q10" i="20"/>
  <c r="O12" i="20"/>
  <c r="H13" i="20"/>
  <c r="Q13" i="20"/>
  <c r="I15" i="20"/>
  <c r="N16" i="20"/>
  <c r="F16" i="20"/>
  <c r="J24" i="20"/>
  <c r="G16" i="20"/>
  <c r="I18" i="20"/>
  <c r="F19" i="20"/>
  <c r="F18" i="20"/>
  <c r="W13" i="20" l="1"/>
  <c r="W15" i="20"/>
  <c r="W10" i="20"/>
  <c r="W14" i="20"/>
  <c r="W12" i="20"/>
  <c r="W16" i="20"/>
  <c r="W11" i="20"/>
  <c r="W18" i="20"/>
  <c r="W9" i="20"/>
  <c r="W19" i="20"/>
  <c r="W17" i="20"/>
  <c r="A2" i="19" l="1"/>
  <c r="S2" i="19"/>
  <c r="A3" i="19"/>
  <c r="S3" i="19"/>
  <c r="A4" i="19"/>
  <c r="S4" i="19"/>
  <c r="A5" i="19"/>
  <c r="S5" i="19"/>
  <c r="A6" i="19"/>
  <c r="S6" i="19"/>
  <c r="A7" i="19"/>
  <c r="S7" i="19"/>
  <c r="A8" i="19"/>
  <c r="S8" i="19"/>
  <c r="A9" i="19"/>
  <c r="S9" i="19"/>
  <c r="A10" i="19"/>
  <c r="S10" i="19"/>
  <c r="A11" i="19"/>
  <c r="S11" i="19"/>
  <c r="A12" i="19"/>
  <c r="S12" i="19"/>
  <c r="A15" i="19"/>
  <c r="S15" i="19"/>
  <c r="A16" i="19"/>
  <c r="S16" i="19"/>
  <c r="A17" i="19"/>
  <c r="S17" i="19"/>
  <c r="A18" i="19"/>
  <c r="S18" i="19"/>
  <c r="A19" i="19"/>
  <c r="S19" i="19"/>
  <c r="A20" i="19"/>
  <c r="S20" i="19"/>
  <c r="A21" i="19"/>
  <c r="S21" i="19"/>
  <c r="A22" i="19"/>
  <c r="S22" i="19"/>
  <c r="A23" i="19"/>
  <c r="S23" i="19"/>
  <c r="A24" i="19"/>
  <c r="S24" i="19"/>
  <c r="A25" i="19"/>
  <c r="S25" i="19"/>
  <c r="A28" i="19"/>
  <c r="S28" i="19"/>
  <c r="A29" i="19"/>
  <c r="S29" i="19"/>
  <c r="A30" i="19"/>
  <c r="S30" i="19"/>
  <c r="A31" i="19"/>
  <c r="S31" i="19"/>
  <c r="A32" i="19"/>
  <c r="S32" i="19"/>
  <c r="A33" i="19"/>
  <c r="S33" i="19"/>
  <c r="A34" i="19"/>
  <c r="S34" i="19"/>
  <c r="A35" i="19"/>
  <c r="S35" i="19"/>
  <c r="A36" i="19"/>
  <c r="S36" i="19"/>
  <c r="A37" i="19"/>
  <c r="S37" i="19"/>
  <c r="A38" i="19"/>
  <c r="S38" i="19"/>
  <c r="A41" i="19"/>
  <c r="S41" i="19"/>
  <c r="A42" i="19"/>
  <c r="S42" i="19"/>
  <c r="A43" i="19"/>
  <c r="S43" i="19"/>
  <c r="A44" i="19"/>
  <c r="S44" i="19"/>
  <c r="A45" i="19"/>
  <c r="S45" i="19"/>
  <c r="A46" i="19"/>
  <c r="S46" i="19"/>
  <c r="A47" i="19"/>
  <c r="S47" i="19"/>
  <c r="A48" i="19"/>
  <c r="S48" i="19"/>
  <c r="A49" i="19"/>
  <c r="S49" i="19"/>
  <c r="A50" i="19"/>
  <c r="S50" i="19"/>
  <c r="A51" i="19"/>
  <c r="S51" i="19"/>
  <c r="A54" i="19"/>
  <c r="S54" i="19"/>
  <c r="A55" i="19"/>
  <c r="S55" i="19"/>
  <c r="A56" i="19"/>
  <c r="S56" i="19"/>
  <c r="A57" i="19"/>
  <c r="S57" i="19"/>
  <c r="A58" i="19"/>
  <c r="S58" i="19"/>
  <c r="A59" i="19"/>
  <c r="S59" i="19"/>
  <c r="A60" i="19"/>
  <c r="S60" i="19"/>
  <c r="A61" i="19"/>
  <c r="S61" i="19"/>
  <c r="A62" i="19"/>
  <c r="S62" i="19"/>
  <c r="A63" i="19"/>
  <c r="S63" i="19"/>
  <c r="A64" i="19"/>
  <c r="S64" i="19"/>
  <c r="A67" i="19"/>
  <c r="S67" i="19"/>
  <c r="A68" i="19"/>
  <c r="S68" i="19"/>
  <c r="A69" i="19"/>
  <c r="S69" i="19"/>
  <c r="A70" i="19"/>
  <c r="S70" i="19"/>
  <c r="A71" i="19"/>
  <c r="S71" i="19"/>
  <c r="A72" i="19"/>
  <c r="S72" i="19"/>
  <c r="A73" i="19"/>
  <c r="S73" i="19"/>
  <c r="A74" i="19"/>
  <c r="S74" i="19"/>
  <c r="A75" i="19"/>
  <c r="S75" i="19"/>
  <c r="A76" i="19"/>
  <c r="S76" i="19"/>
  <c r="A77" i="19"/>
  <c r="S77" i="19"/>
  <c r="A80" i="19"/>
  <c r="S80" i="19"/>
  <c r="A81" i="19"/>
  <c r="S81" i="19"/>
  <c r="A82" i="19"/>
  <c r="S82" i="19"/>
  <c r="A83" i="19"/>
  <c r="S83" i="19"/>
  <c r="A84" i="19"/>
  <c r="S84" i="19"/>
  <c r="A85" i="19"/>
  <c r="S85" i="19"/>
  <c r="A86" i="19"/>
  <c r="S86" i="19"/>
  <c r="A87" i="19"/>
  <c r="S87" i="19"/>
  <c r="A88" i="19"/>
  <c r="S88" i="19"/>
  <c r="A89" i="19"/>
  <c r="S89" i="19"/>
  <c r="A90" i="19"/>
  <c r="S90" i="19"/>
  <c r="A93" i="19"/>
  <c r="S93" i="19"/>
  <c r="A94" i="19"/>
  <c r="S94" i="19"/>
  <c r="A95" i="19"/>
  <c r="S95" i="19"/>
  <c r="A96" i="19"/>
  <c r="S96" i="19"/>
  <c r="A97" i="19"/>
  <c r="S97" i="19"/>
  <c r="A98" i="19"/>
  <c r="S98" i="19"/>
  <c r="A99" i="19"/>
  <c r="S99" i="19"/>
  <c r="A100" i="19"/>
  <c r="S100" i="19"/>
  <c r="A101" i="19"/>
  <c r="S101" i="19"/>
  <c r="A102" i="19"/>
  <c r="S102" i="19"/>
  <c r="A103" i="19"/>
  <c r="S103" i="19"/>
  <c r="A106" i="19"/>
  <c r="S106" i="19"/>
  <c r="A107" i="19"/>
  <c r="S107" i="19"/>
  <c r="A108" i="19"/>
  <c r="S108" i="19"/>
  <c r="A109" i="19"/>
  <c r="S109" i="19"/>
  <c r="A110" i="19"/>
  <c r="S110" i="19"/>
  <c r="A111" i="19"/>
  <c r="S111" i="19"/>
  <c r="A112" i="19"/>
  <c r="S112" i="19"/>
  <c r="A113" i="19"/>
  <c r="S113" i="19"/>
  <c r="A114" i="19"/>
  <c r="S114" i="19"/>
  <c r="A115" i="19"/>
  <c r="S115" i="19"/>
  <c r="A116" i="19"/>
  <c r="S116" i="19"/>
  <c r="A119" i="19"/>
  <c r="S119" i="19"/>
  <c r="A120" i="19"/>
  <c r="S120" i="19"/>
  <c r="A121" i="19"/>
  <c r="S121" i="19"/>
  <c r="A122" i="19"/>
  <c r="S122" i="19"/>
  <c r="A123" i="19"/>
  <c r="S123" i="19"/>
  <c r="A124" i="19"/>
  <c r="S124" i="19"/>
  <c r="A125" i="19"/>
  <c r="S125" i="19"/>
  <c r="A126" i="19"/>
  <c r="S126" i="19"/>
  <c r="A127" i="19"/>
  <c r="S127" i="19"/>
  <c r="A128" i="19"/>
  <c r="S128" i="19"/>
  <c r="A129" i="19"/>
  <c r="S129" i="19"/>
  <c r="S131" i="19"/>
  <c r="C25" i="8" l="1"/>
  <c r="C24" i="8"/>
  <c r="C23" i="8"/>
  <c r="M70" i="13" l="1"/>
  <c r="F70" i="13"/>
  <c r="K69" i="13"/>
  <c r="D69" i="13"/>
  <c r="J68" i="13"/>
  <c r="F68" i="13"/>
  <c r="C68" i="13"/>
  <c r="C58" i="13"/>
  <c r="M57" i="13"/>
  <c r="M58" i="13" s="1"/>
  <c r="J57" i="13"/>
  <c r="J58" i="13" s="1"/>
  <c r="C57" i="13"/>
  <c r="M56" i="13"/>
  <c r="M69" i="13" s="1"/>
  <c r="F56" i="13"/>
  <c r="F69" i="13" s="1"/>
  <c r="M55" i="13"/>
  <c r="M68" i="13" s="1"/>
  <c r="F55" i="13"/>
  <c r="M53" i="13"/>
  <c r="M66" i="13" s="1"/>
  <c r="F53" i="13"/>
  <c r="F57" i="13" s="1"/>
  <c r="F58" i="13" s="1"/>
  <c r="F32" i="13"/>
  <c r="M71" i="13" l="1"/>
  <c r="M72" i="13" s="1"/>
  <c r="F66" i="13"/>
  <c r="F71" i="13" s="1"/>
  <c r="F72" i="13" s="1"/>
  <c r="M34" i="13" l="1"/>
  <c r="K33" i="13"/>
  <c r="J32" i="13"/>
  <c r="J21" i="13"/>
  <c r="J22" i="13" s="1"/>
  <c r="M20" i="13"/>
  <c r="M19" i="13"/>
  <c r="M17" i="13"/>
  <c r="F34" i="13"/>
  <c r="C32" i="13"/>
  <c r="F20" i="13"/>
  <c r="F19" i="13"/>
  <c r="F17" i="13"/>
  <c r="F21" i="13"/>
  <c r="F22" i="13" s="1"/>
  <c r="M33" i="13" l="1"/>
  <c r="M32" i="13"/>
  <c r="M30" i="13"/>
  <c r="M35" i="13" s="1"/>
  <c r="M36" i="13" s="1"/>
  <c r="M21" i="13"/>
  <c r="M22" i="13" s="1"/>
  <c r="F33" i="13"/>
  <c r="F30" i="13"/>
  <c r="F35" i="13" s="1"/>
  <c r="F36" i="13" s="1"/>
  <c r="Z26" i="13"/>
  <c r="AA26" i="13" s="1"/>
  <c r="Z21" i="13"/>
  <c r="C21" i="13"/>
  <c r="C22" i="13" s="1"/>
  <c r="S12" i="20" l="1"/>
  <c r="Z22" i="13"/>
  <c r="Z23" i="13"/>
  <c r="Z24" i="13"/>
  <c r="AA24" i="13" s="1"/>
  <c r="Z25" i="13"/>
  <c r="AA25" i="13" s="1"/>
  <c r="D33" i="13"/>
  <c r="AA22" i="13" l="1"/>
  <c r="AA27" i="13" s="1"/>
  <c r="AA28" i="13" s="1"/>
  <c r="Z27" i="13"/>
  <c r="Z28" i="13" s="1"/>
  <c r="B13" i="8" l="1"/>
  <c r="B17" i="8" s="1"/>
  <c r="B9" i="8"/>
  <c r="B7" i="8"/>
  <c r="S18" i="20" l="1"/>
  <c r="S16" i="20" l="1"/>
  <c r="S15" i="20"/>
  <c r="S14" i="20"/>
  <c r="S10" i="20"/>
  <c r="S19" i="20" l="1"/>
  <c r="S17" i="20" l="1"/>
  <c r="S11" i="20"/>
  <c r="S13" i="20"/>
  <c r="S9" i="20" l="1"/>
  <c r="S21" i="20" l="1"/>
  <c r="S3" i="20" l="1"/>
  <c r="T11" i="20"/>
  <c r="T13" i="20"/>
  <c r="T19" i="20"/>
  <c r="T10" i="20"/>
  <c r="T12" i="20"/>
  <c r="T15" i="20"/>
  <c r="T18" i="20"/>
  <c r="T17" i="20"/>
  <c r="T9" i="20"/>
  <c r="T14" i="20"/>
  <c r="T16" i="20"/>
  <c r="T21" i="20" l="1"/>
  <c r="S4" i="20"/>
  <c r="T2" i="20" l="1"/>
  <c r="T3" i="20" s="1"/>
  <c r="G34" i="20" s="1"/>
  <c r="H26" i="20" l="1"/>
  <c r="M26" i="20"/>
  <c r="H34" i="20"/>
  <c r="I42" i="20"/>
  <c r="N30" i="20"/>
  <c r="F42" i="20"/>
  <c r="K46" i="20"/>
  <c r="N44" i="20"/>
  <c r="N46" i="20"/>
  <c r="I38" i="20"/>
  <c r="F38" i="20"/>
  <c r="O28" i="20"/>
  <c r="N26" i="20"/>
  <c r="P26" i="20"/>
  <c r="Q42" i="20"/>
  <c r="K42" i="20"/>
  <c r="N42" i="20"/>
  <c r="P42" i="20"/>
  <c r="F46" i="20"/>
  <c r="N40" i="20"/>
  <c r="J38" i="20"/>
  <c r="K38" i="20"/>
  <c r="F36" i="20"/>
  <c r="N36" i="20"/>
  <c r="G28" i="20"/>
  <c r="Q44" i="20"/>
  <c r="L44" i="20"/>
  <c r="I32" i="20"/>
  <c r="J26" i="20"/>
  <c r="G42" i="20"/>
  <c r="L34" i="20"/>
  <c r="M30" i="20"/>
  <c r="L30" i="20"/>
  <c r="Q30" i="20"/>
  <c r="M46" i="20"/>
  <c r="G40" i="20"/>
  <c r="P38" i="20"/>
  <c r="H38" i="20"/>
  <c r="L36" i="20"/>
  <c r="M36" i="20"/>
  <c r="G38" i="20"/>
  <c r="H44" i="20"/>
  <c r="P44" i="20"/>
  <c r="M32" i="20"/>
  <c r="O26" i="20"/>
  <c r="J42" i="20"/>
  <c r="L42" i="20"/>
  <c r="K30" i="20"/>
  <c r="F30" i="20"/>
  <c r="P30" i="20"/>
  <c r="J46" i="20"/>
  <c r="M40" i="20"/>
  <c r="H36" i="20"/>
  <c r="Q36" i="20"/>
  <c r="K36" i="20"/>
  <c r="M38" i="20"/>
  <c r="O40" i="20"/>
  <c r="M44" i="20"/>
  <c r="G44" i="20"/>
  <c r="O32" i="20"/>
  <c r="P28" i="20"/>
  <c r="P32" i="20"/>
  <c r="F26" i="20"/>
  <c r="G30" i="20"/>
  <c r="H30" i="20"/>
  <c r="J30" i="20"/>
  <c r="O34" i="20"/>
  <c r="F34" i="20"/>
  <c r="P46" i="20"/>
  <c r="I28" i="20"/>
  <c r="Q40" i="20"/>
  <c r="K40" i="20"/>
  <c r="Q38" i="20"/>
  <c r="F40" i="20"/>
  <c r="L40" i="20"/>
  <c r="F44" i="20"/>
  <c r="J44" i="20"/>
  <c r="J32" i="20"/>
  <c r="Q26" i="20"/>
  <c r="I30" i="20"/>
  <c r="J34" i="20"/>
  <c r="I34" i="20"/>
  <c r="P34" i="20"/>
  <c r="O46" i="20"/>
  <c r="G46" i="20"/>
  <c r="L28" i="20"/>
  <c r="H40" i="20"/>
  <c r="J36" i="20"/>
  <c r="P40" i="20"/>
  <c r="I40" i="20"/>
  <c r="M28" i="20"/>
  <c r="O44" i="20"/>
  <c r="H32" i="20"/>
  <c r="N32" i="20"/>
  <c r="N38" i="20"/>
  <c r="G36" i="20"/>
  <c r="K26" i="20"/>
  <c r="I26" i="20"/>
  <c r="O42" i="20"/>
  <c r="Q34" i="20"/>
  <c r="N34" i="20"/>
  <c r="M34" i="20"/>
  <c r="L46" i="20"/>
  <c r="Q46" i="20"/>
  <c r="J40" i="20"/>
  <c r="N28" i="20"/>
  <c r="O36" i="20"/>
  <c r="J28" i="20"/>
  <c r="Q28" i="20"/>
  <c r="L38" i="20"/>
  <c r="K44" i="20"/>
  <c r="K32" i="20"/>
  <c r="L32" i="20"/>
  <c r="L26" i="20"/>
  <c r="G26" i="20"/>
  <c r="K34" i="20"/>
  <c r="M42" i="20"/>
  <c r="O30" i="20"/>
  <c r="H42" i="20"/>
  <c r="H46" i="20"/>
  <c r="I46" i="20"/>
  <c r="K28" i="20"/>
  <c r="H28" i="20"/>
  <c r="P36" i="20"/>
  <c r="O38" i="20"/>
  <c r="F28" i="20"/>
  <c r="I36" i="20"/>
  <c r="I44" i="20"/>
  <c r="Q32" i="20"/>
  <c r="G32" i="20"/>
  <c r="F32" i="20"/>
  <c r="J29" i="20"/>
  <c r="T4" i="20"/>
  <c r="N31" i="20"/>
  <c r="J31" i="20"/>
  <c r="I31" i="20"/>
  <c r="H31" i="20"/>
  <c r="O31" i="20"/>
  <c r="F31" i="20"/>
  <c r="G31" i="20"/>
  <c r="P31" i="20"/>
  <c r="L31" i="20"/>
  <c r="K31" i="20"/>
  <c r="M31" i="20"/>
  <c r="Q31" i="20"/>
  <c r="M43" i="20"/>
  <c r="G43" i="20"/>
  <c r="K43" i="20"/>
  <c r="L43" i="20"/>
  <c r="J43" i="20"/>
  <c r="I43" i="20"/>
  <c r="F43" i="20"/>
  <c r="Q43" i="20"/>
  <c r="P43" i="20"/>
  <c r="N43" i="20"/>
  <c r="H43" i="20"/>
  <c r="O43" i="20"/>
  <c r="M35" i="20"/>
  <c r="F37" i="20"/>
  <c r="P37" i="20"/>
  <c r="P27" i="20"/>
  <c r="G27" i="20"/>
  <c r="P39" i="20"/>
  <c r="G39" i="20"/>
  <c r="O35" i="20"/>
  <c r="H35" i="20"/>
  <c r="K35" i="20"/>
  <c r="Q37" i="20"/>
  <c r="N37" i="20"/>
  <c r="O37" i="20"/>
  <c r="L27" i="20"/>
  <c r="I39" i="20"/>
  <c r="Q39" i="20"/>
  <c r="N35" i="20"/>
  <c r="J37" i="20"/>
  <c r="M27" i="20"/>
  <c r="K27" i="20"/>
  <c r="F39" i="20"/>
  <c r="J39" i="20"/>
  <c r="I37" i="20"/>
  <c r="L37" i="20"/>
  <c r="M37" i="20"/>
  <c r="O27" i="20"/>
  <c r="F27" i="20"/>
  <c r="L39" i="20"/>
  <c r="K39" i="20"/>
  <c r="O39" i="20"/>
  <c r="H27" i="20"/>
  <c r="L35" i="20"/>
  <c r="F35" i="20"/>
  <c r="Q27" i="20"/>
  <c r="N39" i="20"/>
  <c r="Q35" i="20"/>
  <c r="J35" i="20"/>
  <c r="J27" i="20"/>
  <c r="I27" i="20"/>
  <c r="H39" i="20"/>
  <c r="M39" i="20"/>
  <c r="I35" i="20"/>
  <c r="P35" i="20"/>
  <c r="G35" i="20"/>
  <c r="H37" i="20"/>
  <c r="K37" i="20"/>
  <c r="G37" i="20"/>
  <c r="N27" i="20"/>
  <c r="H45" i="20"/>
  <c r="Q45" i="20"/>
  <c r="F45" i="20"/>
  <c r="J45" i="20"/>
  <c r="N45" i="20"/>
  <c r="P45" i="20"/>
  <c r="L45" i="20"/>
  <c r="G45" i="20"/>
  <c r="I45" i="20"/>
  <c r="K45" i="20"/>
  <c r="M45" i="20"/>
  <c r="O45" i="20"/>
  <c r="N33" i="20"/>
  <c r="G33" i="20"/>
  <c r="I29" i="20"/>
  <c r="P29" i="20"/>
  <c r="O41" i="20"/>
  <c r="Q41" i="20"/>
  <c r="H33" i="20"/>
  <c r="P33" i="20"/>
  <c r="Q33" i="20"/>
  <c r="Q29" i="20"/>
  <c r="G41" i="20"/>
  <c r="M41" i="20"/>
  <c r="F41" i="20"/>
  <c r="I33" i="20"/>
  <c r="I41" i="20"/>
  <c r="J33" i="20"/>
  <c r="K29" i="20"/>
  <c r="N29" i="20"/>
  <c r="N41" i="20"/>
  <c r="H41" i="20"/>
  <c r="K41" i="20"/>
  <c r="M33" i="20"/>
  <c r="F33" i="20"/>
  <c r="H29" i="20"/>
  <c r="L29" i="20"/>
  <c r="G29" i="20"/>
  <c r="J41" i="20"/>
  <c r="P41" i="20"/>
  <c r="L33" i="20"/>
  <c r="M29" i="20"/>
  <c r="O29" i="20"/>
  <c r="K33" i="20"/>
  <c r="O33" i="20"/>
  <c r="F29" i="20"/>
  <c r="L41" i="20"/>
  <c r="Q25" i="20"/>
  <c r="O25" i="20"/>
  <c r="J25" i="20"/>
  <c r="G25" i="20"/>
  <c r="M25" i="20"/>
  <c r="P25" i="20"/>
  <c r="H25" i="20"/>
  <c r="N25" i="20"/>
  <c r="F25" i="20"/>
  <c r="L25" i="20"/>
  <c r="K25" i="20"/>
  <c r="I25" i="20"/>
  <c r="R30" i="20" l="1"/>
  <c r="R36" i="20"/>
  <c r="M49" i="20"/>
  <c r="S36" i="20"/>
  <c r="R34" i="20"/>
  <c r="S44" i="20"/>
  <c r="S42" i="20"/>
  <c r="S46" i="20"/>
  <c r="R44" i="20"/>
  <c r="Q49" i="20"/>
  <c r="S32" i="20"/>
  <c r="R40" i="20"/>
  <c r="R26" i="20"/>
  <c r="P49" i="20"/>
  <c r="J49" i="20"/>
  <c r="H49" i="20"/>
  <c r="O49" i="20"/>
  <c r="F49" i="20"/>
  <c r="S38" i="20"/>
  <c r="L49" i="20"/>
  <c r="G49" i="20"/>
  <c r="N49" i="20"/>
  <c r="S30" i="20"/>
  <c r="R46" i="20"/>
  <c r="R42" i="20"/>
  <c r="S34" i="20"/>
  <c r="I49" i="20"/>
  <c r="S28" i="20"/>
  <c r="S26" i="20"/>
  <c r="K49" i="20"/>
  <c r="R28" i="20"/>
  <c r="R32" i="20"/>
  <c r="R38" i="20"/>
  <c r="S40" i="20"/>
  <c r="L48" i="20"/>
  <c r="N48" i="20"/>
  <c r="G48" i="20"/>
  <c r="K48" i="20"/>
  <c r="Q48" i="20"/>
  <c r="I48" i="20"/>
  <c r="O48" i="20"/>
  <c r="S41" i="20"/>
  <c r="R41" i="20"/>
  <c r="S35" i="20"/>
  <c r="R35" i="20"/>
  <c r="H48" i="20"/>
  <c r="S29" i="20"/>
  <c r="R29" i="20"/>
  <c r="R31" i="20"/>
  <c r="S31" i="20"/>
  <c r="R25" i="20"/>
  <c r="S25" i="20"/>
  <c r="F48" i="20"/>
  <c r="P48" i="20"/>
  <c r="R39" i="20"/>
  <c r="S39" i="20"/>
  <c r="M48" i="20"/>
  <c r="S33" i="20"/>
  <c r="R33" i="20"/>
  <c r="R45" i="20"/>
  <c r="S45" i="20"/>
  <c r="R27" i="20"/>
  <c r="S27" i="20"/>
  <c r="R43" i="20"/>
  <c r="S43" i="20"/>
  <c r="J48" i="20"/>
  <c r="R37" i="20"/>
  <c r="S37" i="20"/>
  <c r="J51" i="20" l="1"/>
  <c r="M51" i="20"/>
  <c r="O51" i="20"/>
  <c r="O53" i="20" s="1"/>
  <c r="P51" i="20"/>
  <c r="P53" i="20" s="1"/>
  <c r="N51" i="20"/>
  <c r="Q51" i="20"/>
  <c r="Q53" i="20" s="1"/>
  <c r="F51" i="20"/>
  <c r="G51" i="20"/>
  <c r="S49" i="20"/>
  <c r="H51" i="20"/>
  <c r="L51" i="20"/>
  <c r="I51" i="20"/>
  <c r="K51" i="20"/>
  <c r="S48" i="20"/>
  <c r="S52" i="20" l="1"/>
  <c r="S51" i="20"/>
  <c r="T25" i="20" s="1"/>
  <c r="T40" i="20" l="1"/>
  <c r="T38" i="20"/>
  <c r="T30" i="20"/>
  <c r="T42" i="20"/>
  <c r="T26" i="20"/>
  <c r="T37" i="20"/>
  <c r="T29" i="20"/>
  <c r="T39" i="20"/>
  <c r="I52" i="20"/>
  <c r="N52" i="20"/>
  <c r="O52" i="20"/>
  <c r="T46" i="20"/>
  <c r="T27" i="20"/>
  <c r="T28" i="20"/>
  <c r="T45" i="20"/>
  <c r="F52" i="20"/>
  <c r="F53" i="20" s="1"/>
  <c r="J52" i="20"/>
  <c r="T33" i="20"/>
  <c r="T44" i="20"/>
  <c r="G52" i="20"/>
  <c r="T36" i="20"/>
  <c r="L52" i="20"/>
  <c r="T34" i="20"/>
  <c r="T43" i="20"/>
  <c r="H52" i="20"/>
  <c r="M52" i="20"/>
  <c r="K52" i="20"/>
  <c r="S53" i="20"/>
  <c r="Q52" i="20"/>
  <c r="T32" i="20"/>
  <c r="X5" i="20"/>
  <c r="T31" i="20"/>
  <c r="T35" i="20"/>
  <c r="T41" i="20"/>
  <c r="P52" i="20"/>
  <c r="T49" i="20" l="1"/>
  <c r="G53" i="20"/>
  <c r="H53" i="20" s="1"/>
  <c r="I53" i="20" s="1"/>
  <c r="J53" i="20" s="1"/>
  <c r="K53" i="20" s="1"/>
  <c r="L53" i="20" s="1"/>
  <c r="M53" i="20" s="1"/>
  <c r="N53" i="20" s="1"/>
  <c r="T48" i="20"/>
  <c r="T52" i="20"/>
  <c r="T51" i="20" l="1"/>
  <c r="T53" i="20"/>
</calcChain>
</file>

<file path=xl/sharedStrings.xml><?xml version="1.0" encoding="utf-8"?>
<sst xmlns="http://schemas.openxmlformats.org/spreadsheetml/2006/main" count="1407" uniqueCount="525">
  <si>
    <t>QUANT</t>
  </si>
  <si>
    <t>UNIT</t>
  </si>
  <si>
    <t>( R$ ) - PM</t>
  </si>
  <si>
    <t>m3</t>
  </si>
  <si>
    <t xml:space="preserve"> </t>
  </si>
  <si>
    <t>m2</t>
  </si>
  <si>
    <t>m</t>
  </si>
  <si>
    <t>ton</t>
  </si>
  <si>
    <t>un</t>
  </si>
  <si>
    <t>BLSA150</t>
  </si>
  <si>
    <t>CLA060</t>
  </si>
  <si>
    <t>serviço</t>
  </si>
  <si>
    <t>TIJOLO</t>
  </si>
  <si>
    <t>cimen</t>
  </si>
  <si>
    <t>areia</t>
  </si>
  <si>
    <t>brita</t>
  </si>
  <si>
    <t>custo
exec</t>
  </si>
  <si>
    <t>CAL</t>
  </si>
  <si>
    <t>forma
   m2</t>
  </si>
  <si>
    <t>TIJOLO
M3</t>
  </si>
  <si>
    <t>concr
magr</t>
  </si>
  <si>
    <t>Concr
11mpa</t>
  </si>
  <si>
    <t>Concr
15mpa</t>
  </si>
  <si>
    <t>argamas
M2</t>
  </si>
  <si>
    <t>aço
ca 60</t>
  </si>
  <si>
    <t>grelha</t>
  </si>
  <si>
    <t>B.L. Símples alvenaria H até 1,20 m</t>
  </si>
  <si>
    <t>B.L. Símples alvenaria H até 1,50 m</t>
  </si>
  <si>
    <t>B.L. Símples alvenaria H até 2,00 m</t>
  </si>
  <si>
    <t>B.L. Símples alvenaria H até 2,50 m</t>
  </si>
  <si>
    <t>C.L. Alvenaria Tubo até 0,80</t>
  </si>
  <si>
    <t>C.L. Alvenaria Tubo até 1,00</t>
  </si>
  <si>
    <t>C.L. Alvenaria Tubo até 1,20</t>
  </si>
  <si>
    <t>K</t>
  </si>
  <si>
    <t>M</t>
  </si>
  <si>
    <t>N</t>
  </si>
  <si>
    <t>O</t>
  </si>
  <si>
    <t>P</t>
  </si>
  <si>
    <t>Q</t>
  </si>
  <si>
    <t>R</t>
  </si>
  <si>
    <t>S</t>
  </si>
  <si>
    <t>C.L. Alvenaria Tubo até 0,40</t>
  </si>
  <si>
    <t>C.L. Alvenaria Tubo até 0,60</t>
  </si>
  <si>
    <t>B.L. Dupla Alvenaria H até 1,20 m</t>
  </si>
  <si>
    <t>B.L. Dupla Alvenaria H até 1,50 m</t>
  </si>
  <si>
    <t>B.L. Dupla Alvenaria H até 2,00 m</t>
  </si>
  <si>
    <t>B.L. Dupla Alvenaria H até 2,50 m</t>
  </si>
  <si>
    <t>B.L. Símples concreto armado H até 1,50 m</t>
  </si>
  <si>
    <t>B.L. Símples concreto armado H até 2,00 m</t>
  </si>
  <si>
    <t>B.L. Símples concreto armado H até 2,50 m</t>
  </si>
  <si>
    <t>B.L. Símples concreto armado H até 1,20 m</t>
  </si>
  <si>
    <t>B.L. Dupla Concreto armado H até 1,50 m</t>
  </si>
  <si>
    <t>B.L. Dupla Concreto armado H até 2,00 m</t>
  </si>
  <si>
    <t>B.L. Dupla Concreto armado H até 2,50 m</t>
  </si>
  <si>
    <t>B.L. Dupla Concreto armado H até 1,20 m</t>
  </si>
  <si>
    <t>PVAH100</t>
  </si>
  <si>
    <t>P.V. Alvenaria H até 0,80 m Tubo até 0,40 + chaminé 1,00 m</t>
  </si>
  <si>
    <t>P.V. Alvenaria H até 1,00 m Tubo até 0,60 + chaminé 1,00 m</t>
  </si>
  <si>
    <t>P.V. Alvenaria H até 1,30 m Tubo até 0,80 + chaminé 1,00 m</t>
  </si>
  <si>
    <t>P.V. Alvenaria H até 1,50 m Tubo até 1,00 + chaminé 1,00 m</t>
  </si>
  <si>
    <t>P.V. Alvenaria H até 1,80 m Tubo até 1,20 + chaminé 1,00 m</t>
  </si>
  <si>
    <t>P.V. Pré-moldado H até 0,80 m Tubo até 0,40 + chaminé 1,00 m</t>
  </si>
  <si>
    <t>P.V. Pré-moldado H até 1,00 m Tubo até 0,60 + chaminé 1,00 m</t>
  </si>
  <si>
    <t>P.V. Pré-moldado H até 1,30 m Tubo até 0,80 + chaminé 1,00 m</t>
  </si>
  <si>
    <t>P.V. Pré-moldado H até 1,50 m Tubo até 1,00 + chaminé 1,00 m</t>
  </si>
  <si>
    <t>P.V. Pré-moldado H até 1,80 m Tubo até 1,20 + chaminé 1,00 m</t>
  </si>
  <si>
    <t>P.V. Concreto armado H até 0,80 m Tubo até 0,40 + chaminé 1,00 m</t>
  </si>
  <si>
    <t>P.V. Concreto armado H até 1,00 m Tubo até 0,60 + chaminé 1,00 m</t>
  </si>
  <si>
    <t>P.V. Concreto armado H até 1,30 m Tubo até 0,80 + chaminé 1,00 m</t>
  </si>
  <si>
    <t>P.V. Concreto armado H até 1,50 m Tubo até 1,00 + chaminé 1,00 m</t>
  </si>
  <si>
    <t>P.V. Concreto armado H até 1,80 m Tubo até 1,20 + chaminé 1,00 m</t>
  </si>
  <si>
    <t>P.V. Concreto armado H até 2,00 m Tubo até 1,50 + chaminé 1,00 m</t>
  </si>
  <si>
    <t>P.V. Concreto armado H até 2,50 m Tubo até 2,00 + chaminé 1,00 m</t>
  </si>
  <si>
    <t>Dissipador de Energia c/Pedra de Mão tubo ø 1,00</t>
  </si>
  <si>
    <t>Dissipador de Energia c/Pedra de Mão tubo ø 1,20</t>
  </si>
  <si>
    <t>Dissipador de Energia c/Pedra de Mão tubo ø 1,50</t>
  </si>
  <si>
    <t>Pedra Argamassada m3</t>
  </si>
  <si>
    <t>CICLÓP 11
mpa m3</t>
  </si>
  <si>
    <t>x</t>
  </si>
  <si>
    <t>DESCRIÇÃO DOS SERVIÇOS</t>
  </si>
  <si>
    <t>UD</t>
  </si>
  <si>
    <t>PLANILHA DE SERVIÇOS   -   PAVIMENTAÇÃO</t>
  </si>
  <si>
    <t>ORÇAMENTO APROVADO</t>
  </si>
  <si>
    <t>( R$ ) - PM
TOTAIS</t>
  </si>
  <si>
    <t>Município:</t>
  </si>
  <si>
    <t xml:space="preserve">SAM  </t>
  </si>
  <si>
    <t>Projeto :</t>
  </si>
  <si>
    <t xml:space="preserve">LOTE nº </t>
  </si>
  <si>
    <t/>
  </si>
  <si>
    <t>5</t>
  </si>
  <si>
    <t>2</t>
  </si>
  <si>
    <t>Regularização compac.subleito S.A.F. 100% PI</t>
  </si>
  <si>
    <t>Remoção da Camada Superficial</t>
  </si>
  <si>
    <t>Regularização e Compactação p/ assentamento de calçadas/lajotas/blocos</t>
  </si>
  <si>
    <t>DER</t>
  </si>
  <si>
    <t>3</t>
  </si>
  <si>
    <t>Brita Graduada</t>
  </si>
  <si>
    <t>4</t>
  </si>
  <si>
    <t>6</t>
  </si>
  <si>
    <t>Areia</t>
  </si>
  <si>
    <t>Cal Hidratada CH-1</t>
  </si>
  <si>
    <t>Brita</t>
  </si>
  <si>
    <t>Meio-Fio com Sarjeta DER - Tipo 2 - (0,042 m3) - Moldado "in loco"</t>
  </si>
  <si>
    <t>Meio-Fio c/Sarjeta (rebaixado) DER-Tipo 7-(0,031 m3) - Moldado "in loco"</t>
  </si>
  <si>
    <t>Calçada Concreto ( e = 5,00 cm )</t>
  </si>
  <si>
    <t>Rampa para PNE com Piso Tátil (NBR 9050) - Modelo 06 - 7,65 m2</t>
  </si>
  <si>
    <t>Placa sinalização refletiva-triângulo (0,1219 m2/ud) + suporte METÁLICO</t>
  </si>
  <si>
    <t>Placa sinalização refletiva-octógono (0,2160 m2/ud) + suporte METÁLICO</t>
  </si>
  <si>
    <t>820000G</t>
  </si>
  <si>
    <t>820000H</t>
  </si>
  <si>
    <t>8</t>
  </si>
  <si>
    <t>Escavação de Bueiros em 1ª Categoria</t>
  </si>
  <si>
    <t>Reaterro Sem Apiloamento</t>
  </si>
  <si>
    <t>Corpo de BSTC ø 0,40 sem Berço e sem Armação</t>
  </si>
  <si>
    <t>Corpo de BSTC ø 0,60 sem Berço e sem Armação</t>
  </si>
  <si>
    <t>B.L. Símples pré-moldado H até 1,20 m</t>
  </si>
  <si>
    <t>B.L. Símples pré-moldado H até 1,50 m</t>
  </si>
  <si>
    <t>B.L. Símples pré-moldado H até 2,00 m</t>
  </si>
  <si>
    <t>B.L. Símples pré-moldado H até 2,50 m</t>
  </si>
  <si>
    <t>B.L. Dupla Pré-moldado H até 1,20 m</t>
  </si>
  <si>
    <t>B.L. Dupla Pré-moldado H até 1,50 m</t>
  </si>
  <si>
    <t>B.L. Dupla Pré-moldado H até 2,00 m</t>
  </si>
  <si>
    <t>B.L. Dupla Pré-moldado H até 2,50 m</t>
  </si>
  <si>
    <t>C.L. pré-moldado Tubo até 0,40</t>
  </si>
  <si>
    <t>C.L. pré-moldado Tubo até 0,60</t>
  </si>
  <si>
    <t>C.L. pré-moldado Tubo até 0,80</t>
  </si>
  <si>
    <t>C.L. pré-moldado Tubo até 1,00</t>
  </si>
  <si>
    <t>C.L. pré-moldado Tubo até 1,20</t>
  </si>
  <si>
    <t>C.L. concreto armado Tubo até 0,40</t>
  </si>
  <si>
    <t>C.L. concreto armado Tubo até 0,60</t>
  </si>
  <si>
    <t>C.L. concreto armado Tubo até 0,80</t>
  </si>
  <si>
    <t>C.L. concreto armado Tubo até 1,00</t>
  </si>
  <si>
    <t>C.L. concreto armado Tubo até 1,20</t>
  </si>
  <si>
    <t>C.L. concreto armado Tubo até 1,50</t>
  </si>
  <si>
    <t>C.L. concreto armado Tubo até 2,00</t>
  </si>
  <si>
    <t>Viga de Apoio em concreto marmado Tubo 0,80</t>
  </si>
  <si>
    <t>Viga de Apoio em concreto marmado Tubo 1,00</t>
  </si>
  <si>
    <t>Viga de Apoio em concreto marmado Tubo 1,20</t>
  </si>
  <si>
    <t>Dissipador de Energia c/Pedra de Mão tubo ø 0, 40</t>
  </si>
  <si>
    <t>Dissipador de Energia c/Pedra de Mão tubo ø 0, 60</t>
  </si>
  <si>
    <t>Dissipador de Energia c/Pedra de Mão tubo ø 0, 80</t>
  </si>
  <si>
    <t>ENSAIO DE ORÇAMENTO 1</t>
  </si>
  <si>
    <t>ENSAIO DE ORÇAMENTO 2</t>
  </si>
  <si>
    <t>ENSAIO DE ORÇAMENTO 3</t>
  </si>
  <si>
    <t>ENSAIO DE ORÇAMENTO 4</t>
  </si>
  <si>
    <t>ENSAIO DE ORÇAMENTO 5</t>
  </si>
  <si>
    <t>ENSAIO DE ORÇAMENTO 6</t>
  </si>
  <si>
    <t>ENSAIO DE ORÇAMENTO 7</t>
  </si>
  <si>
    <t>ENSAIO DE ORÇAMENTO 8</t>
  </si>
  <si>
    <t>ENSAIO DE ORÇAMENTO 9</t>
  </si>
  <si>
    <t>ENSAIO DE ORÇAMENTO 10</t>
  </si>
  <si>
    <t>Código</t>
  </si>
  <si>
    <t>Orígem</t>
  </si>
  <si>
    <t>7</t>
  </si>
  <si>
    <t>TERRAPLENAGEM</t>
  </si>
  <si>
    <t>REVESTIMENTO</t>
  </si>
  <si>
    <t>MEIO-FIO E SARJETA</t>
  </si>
  <si>
    <t>DRENAGEM</t>
  </si>
  <si>
    <t>SERVIÇOS PRELIMINARES</t>
  </si>
  <si>
    <t>BASE / SUB-BASE</t>
  </si>
  <si>
    <t>PAISAGISMO / URBANISMO</t>
  </si>
  <si>
    <t>SINALIZAÇÃO DE TRÂNSITO</t>
  </si>
  <si>
    <t>ILUMINAÇÃO PÚBLICA</t>
  </si>
  <si>
    <t>9</t>
  </si>
  <si>
    <t>SERVIÇOS DIVERSOS</t>
  </si>
  <si>
    <t>10</t>
  </si>
  <si>
    <t>Plantio de Grama em placas</t>
  </si>
  <si>
    <t xml:space="preserve">Faixa de Sinalização Horizontal c/tinta resina acrílica base solvente- (0,034 m2/m2) </t>
  </si>
  <si>
    <t>TOTAL</t>
  </si>
  <si>
    <t>PREÇO GLOBAL</t>
  </si>
  <si>
    <t>1</t>
  </si>
  <si>
    <t>Local da Obra :</t>
  </si>
  <si>
    <t>11</t>
  </si>
  <si>
    <t xml:space="preserve">Ensaio de Massa Específica - In Situ - Método Frasco de Areia (Grau de Compactação) - Terraplenagem </t>
  </si>
  <si>
    <t>Ensaio de Massa Específica - In Situ - Método Frasco de Areia (Grau de Compactação) - Regularização e Compactação do Subleito</t>
  </si>
  <si>
    <t>Ensaio de Massa Específica - In Situ - Método Frasco de Areia (Grau de Compactação) - Sub-base e Base</t>
  </si>
  <si>
    <t>Ensaio de Granulometria do Agregado</t>
  </si>
  <si>
    <t>74022/27</t>
  </si>
  <si>
    <t>Ensaio de Controle de Taxa de Aplicação de Ligante Betuminoso</t>
  </si>
  <si>
    <t>Ensaio de Percentagem de Betume - Misturas Betuminosas</t>
  </si>
  <si>
    <t>74022/53</t>
  </si>
  <si>
    <t>Ensaio de Controle do Grau de Compactação da Mistura Asfáltica</t>
  </si>
  <si>
    <t>74022/56</t>
  </si>
  <si>
    <t>Ensaio de Densidade do Material Betuminoso</t>
  </si>
  <si>
    <t>gb</t>
  </si>
  <si>
    <t>DAER/RS</t>
  </si>
  <si>
    <t>ENSAIOS TECNOLÓGICOS
(Os custos com mobilização e desmobilização de equipe e equipamentos para a extração de amostras para os ensaios tecnológicos, exceto da capa asfáltica, serão de responsabilidade da empresa executora da obra.)</t>
  </si>
  <si>
    <t xml:space="preserve">     </t>
  </si>
  <si>
    <t>Calçada Concreto ( e = 7,00 cm )</t>
  </si>
  <si>
    <t>ENSAIOS TECNOLÓGICOS</t>
  </si>
  <si>
    <t>tampão
161125</t>
  </si>
  <si>
    <t>8.1</t>
  </si>
  <si>
    <t>5.1</t>
  </si>
  <si>
    <t>SEIL/2016</t>
  </si>
  <si>
    <t>3.20</t>
  </si>
  <si>
    <t>7.1</t>
  </si>
  <si>
    <t>Imprimação com Emulsão EAI - exclusive emulsão</t>
  </si>
  <si>
    <t>Pintura de ligação com RR-1C - exclusive emulsão</t>
  </si>
  <si>
    <t>Fornecimento de emulsão RR-1C - imprimação</t>
  </si>
  <si>
    <t>Fornecimento de emulsão EAI - imprimação</t>
  </si>
  <si>
    <t>Fornecimento de CAP - CBUQ (Quantidade menor que 10000 toneladas)</t>
  </si>
  <si>
    <t>SERVIÇOS DE URBANIZAÇÃO</t>
  </si>
  <si>
    <t>Critério Econômico de Elegibilidade</t>
  </si>
  <si>
    <t>PAVIMENTAÇÃO</t>
  </si>
  <si>
    <t>PROGRAMA PARANÁ URBANO 3</t>
  </si>
  <si>
    <t>INDICADOR FÍSICO (TAXA DE OCUPAÇÃO)</t>
  </si>
  <si>
    <t>Nº de lotes totais:</t>
  </si>
  <si>
    <t xml:space="preserve">&gt;= </t>
  </si>
  <si>
    <t>Nº de lotes ocupados:</t>
  </si>
  <si>
    <t xml:space="preserve">Nº de lotes ocupados  </t>
  </si>
  <si>
    <r>
      <rPr>
        <b/>
        <u/>
        <sz val="14"/>
        <rFont val="Arial"/>
        <family val="2"/>
      </rPr>
      <t>Nº de lotes ocupados</t>
    </r>
    <r>
      <rPr>
        <b/>
        <sz val="14"/>
        <rFont val="Arial"/>
        <family val="2"/>
      </rPr>
      <t xml:space="preserve">  =</t>
    </r>
  </si>
  <si>
    <t>Nº de lotes totais</t>
  </si>
  <si>
    <t>VIABILIDADE DO PROJETO</t>
  </si>
  <si>
    <t>INDICADOR ECONÔMICO ( VALOR DO INVESTIMENTO / Nº DE LOTES TOTAIS)</t>
  </si>
  <si>
    <t>Valor do Investimento</t>
  </si>
  <si>
    <t xml:space="preserve">&lt;= </t>
  </si>
  <si>
    <t>Valor do Investimento  =</t>
  </si>
  <si>
    <t>SINAPI</t>
  </si>
  <si>
    <t>7.4</t>
  </si>
  <si>
    <t>aço
ca 50</t>
  </si>
  <si>
    <t>aço
ca 25</t>
  </si>
  <si>
    <t>Concr
18 mpa</t>
  </si>
  <si>
    <t xml:space="preserve">1 - </t>
  </si>
  <si>
    <t>PAVIMENTAÇÃO (IMPLANTAÇÃO - RESTAURAÇÃO DE PAVIMENTO - IMPLASNTAÇÃO + RECAPE)</t>
  </si>
  <si>
    <r>
      <t xml:space="preserve">PRAZOS E ÁREAS MÁXIMAS DE </t>
    </r>
    <r>
      <rPr>
        <b/>
        <sz val="16"/>
        <color theme="1"/>
        <rFont val="Calibri"/>
        <family val="2"/>
        <scheme val="minor"/>
      </rPr>
      <t>PAVIMENTAÇÃO</t>
    </r>
    <r>
      <rPr>
        <b/>
        <sz val="11"/>
        <color theme="1"/>
        <rFont val="Calibri"/>
        <family val="2"/>
        <scheme val="minor"/>
      </rPr>
      <t xml:space="preserve"> PARA O CRONOGRMA</t>
    </r>
  </si>
  <si>
    <t>Prazo do</t>
  </si>
  <si>
    <t>Áreas Máximas</t>
  </si>
  <si>
    <t>Cronograma  (N)</t>
  </si>
  <si>
    <t>de</t>
  </si>
  <si>
    <t>até</t>
  </si>
  <si>
    <t>3 meses</t>
  </si>
  <si>
    <t>-</t>
  </si>
  <si>
    <t>2.000  m2</t>
  </si>
  <si>
    <t>4 meses</t>
  </si>
  <si>
    <t>4.000  m2</t>
  </si>
  <si>
    <t>5 meses</t>
  </si>
  <si>
    <t>8.000  m2</t>
  </si>
  <si>
    <t>Obs.</t>
  </si>
  <si>
    <t>Para áreas maiores que 30.000 m2  :    Dividir em "Lotes"</t>
  </si>
  <si>
    <t>6 meses</t>
  </si>
  <si>
    <t>13.000  m2</t>
  </si>
  <si>
    <t>7 meses</t>
  </si>
  <si>
    <t>18.000  m2</t>
  </si>
  <si>
    <t>8 meses</t>
  </si>
  <si>
    <t>24.000  m2</t>
  </si>
  <si>
    <t>9 meses</t>
  </si>
  <si>
    <t>30.000  m2</t>
  </si>
  <si>
    <t>RECAPE ASFÁLTICO</t>
  </si>
  <si>
    <t>PRAZOS E ÁREAS MÁXIMAS DE RECAPE PARA O CRONOGRMA</t>
  </si>
  <si>
    <t>10.000  m2</t>
  </si>
  <si>
    <t>15.000  m2</t>
  </si>
  <si>
    <t>Para áreas maiores que 60.000 m2  :    Dividir em "Lotes"</t>
  </si>
  <si>
    <t>20.000  m2</t>
  </si>
  <si>
    <t>40.000  m2</t>
  </si>
  <si>
    <t>50.000  m2</t>
  </si>
  <si>
    <t>60.000  m2</t>
  </si>
  <si>
    <r>
      <t>SECRETARIA DE ESTADO DO DESENVOLVIMENTO URBANO -</t>
    </r>
    <r>
      <rPr>
        <b/>
        <sz val="10"/>
        <rFont val="Arial"/>
        <family val="2"/>
      </rPr>
      <t xml:space="preserve"> </t>
    </r>
    <r>
      <rPr>
        <b/>
        <sz val="12"/>
        <rFont val="Arial"/>
        <family val="2"/>
      </rPr>
      <t>SEDU</t>
    </r>
  </si>
  <si>
    <t>Edital no Município</t>
  </si>
  <si>
    <t>Procedimento prévio</t>
  </si>
  <si>
    <t>Início previsto da Obra</t>
  </si>
  <si>
    <t>Data</t>
  </si>
  <si>
    <t>Dias</t>
  </si>
  <si>
    <t>Contrapartida do Proponente</t>
  </si>
  <si>
    <t>Quantidade:</t>
  </si>
  <si>
    <t>CRONOGRAMA FÍSICO FINANCEIRO</t>
  </si>
  <si>
    <t>Valor Total</t>
  </si>
  <si>
    <t>GRUPO</t>
  </si>
  <si>
    <t>SERVIÇOS</t>
  </si>
  <si>
    <t>PARCELAS (%)</t>
  </si>
  <si>
    <t>% S/</t>
  </si>
  <si>
    <t>Controle</t>
  </si>
  <si>
    <t>ITEM</t>
  </si>
  <si>
    <t>ITEM (R$)</t>
  </si>
  <si>
    <t>Data Início</t>
  </si>
  <si>
    <t>Data Fim</t>
  </si>
  <si>
    <t>TOTAIS</t>
  </si>
  <si>
    <t>PARCELAS</t>
  </si>
  <si>
    <t>Nº DE</t>
  </si>
  <si>
    <t>MESES</t>
  </si>
  <si>
    <t>1T</t>
  </si>
  <si>
    <t>R$</t>
  </si>
  <si>
    <t>1C</t>
  </si>
  <si>
    <t>CONTRAPARTIDA</t>
  </si>
  <si>
    <t>2T</t>
  </si>
  <si>
    <t>2C</t>
  </si>
  <si>
    <t>3T</t>
  </si>
  <si>
    <t>3C</t>
  </si>
  <si>
    <t>4T</t>
  </si>
  <si>
    <t>4C</t>
  </si>
  <si>
    <t>5T</t>
  </si>
  <si>
    <t>5C</t>
  </si>
  <si>
    <t>6T</t>
  </si>
  <si>
    <t>6C</t>
  </si>
  <si>
    <t>7T</t>
  </si>
  <si>
    <t>7C</t>
  </si>
  <si>
    <t>8T</t>
  </si>
  <si>
    <t>8C</t>
  </si>
  <si>
    <t>9T</t>
  </si>
  <si>
    <t>9C</t>
  </si>
  <si>
    <t>10T</t>
  </si>
  <si>
    <t>10C</t>
  </si>
  <si>
    <t>11T</t>
  </si>
  <si>
    <t>11C</t>
  </si>
  <si>
    <t>T</t>
  </si>
  <si>
    <t>C</t>
  </si>
  <si>
    <t>FATURAMENTO MENSAL PREVISTO</t>
  </si>
  <si>
    <t>MENSAL PARCIAL PREVISTO EM %</t>
  </si>
  <si>
    <t>MENSAL ACUMULADO PREVISTO EM %</t>
  </si>
  <si>
    <t>Resp. Técnico:</t>
  </si>
  <si>
    <t>Assinatura:</t>
  </si>
  <si>
    <t>Prefeito:</t>
  </si>
  <si>
    <t>data:</t>
  </si>
  <si>
    <t>___________________________</t>
  </si>
  <si>
    <t>__________________</t>
  </si>
  <si>
    <t>Empréstimo</t>
  </si>
  <si>
    <t>COMPOSIÇÃO DOS RECURSOS (FINANCIAMENTO E CONTRAPARTIDA)</t>
  </si>
  <si>
    <t>FINANCIAMENTO</t>
  </si>
  <si>
    <t>Fornecimento de emulsão RR-1C - pintura de ligação</t>
  </si>
  <si>
    <t>TRAÇOS DE CBUQ</t>
  </si>
  <si>
    <t>Nome da Usina / Pedreira</t>
  </si>
  <si>
    <t>Local da Pedreira</t>
  </si>
  <si>
    <t>Local da Usina</t>
  </si>
  <si>
    <t>Composição dos agregados (SEM LIGANTE)</t>
  </si>
  <si>
    <t>MATERIAL</t>
  </si>
  <si>
    <t>Utilização</t>
  </si>
  <si>
    <t>Brita "a"</t>
  </si>
  <si>
    <t>Brita "b"</t>
  </si>
  <si>
    <t>Brita "c"</t>
  </si>
  <si>
    <t>Nome da Brita</t>
  </si>
  <si>
    <t>brita 3/4</t>
  </si>
  <si>
    <t>Pedrisco</t>
  </si>
  <si>
    <t>Pó de pedra</t>
  </si>
  <si>
    <t>Cal Hidratada CH-1 ou Filler</t>
  </si>
  <si>
    <t>% sem ligante</t>
  </si>
  <si>
    <t>Total agregados</t>
  </si>
  <si>
    <t>resumido</t>
  </si>
  <si>
    <t>Composição da MASSA (COM LIGANTE)</t>
  </si>
  <si>
    <t>% COM ligante</t>
  </si>
  <si>
    <t>Traço</t>
  </si>
  <si>
    <t>Total da MASSA</t>
  </si>
  <si>
    <t>Total de LIGANTE</t>
  </si>
  <si>
    <t>TRAÇO 1</t>
  </si>
  <si>
    <t>TRAÇO 3</t>
  </si>
  <si>
    <t>TRAÇO 2</t>
  </si>
  <si>
    <t>"FAIXA B" DER</t>
  </si>
  <si>
    <t>Camada de Ligação  -  BINDER</t>
  </si>
  <si>
    <t>conferência</t>
  </si>
  <si>
    <t>DADOS DO PROJETO MARSHAL</t>
  </si>
  <si>
    <t>FAIXA</t>
  </si>
  <si>
    <t xml:space="preserve">DENSIDADE APARENTE DA MASSA </t>
  </si>
  <si>
    <t>TEÔR ÓTIMO DE LIGANTE</t>
  </si>
  <si>
    <t>% DE CADA AGREGADO</t>
  </si>
  <si>
    <t>COMPOSIÇÃO</t>
  </si>
  <si>
    <t>CÁLCULO DO DA COMPOSIÇÃO</t>
  </si>
  <si>
    <t>Agregados sem Betume</t>
  </si>
  <si>
    <t>Sem Betume</t>
  </si>
  <si>
    <t>CÁLCULO DO DO TRAÇO</t>
  </si>
  <si>
    <t>CÁLCULO DO PERCENTUAL DE AGREADOS NA NASSA</t>
  </si>
  <si>
    <t>Observação :</t>
  </si>
  <si>
    <t xml:space="preserve">O perceentual de Agregados na Massa é: </t>
  </si>
  <si>
    <t>100,00% menos o percentual de betume</t>
  </si>
  <si>
    <t>Percentual de Agregados na Massa</t>
  </si>
  <si>
    <t>Teôr Ótimo de Betume</t>
  </si>
  <si>
    <t>Total da Massa</t>
  </si>
  <si>
    <t>Agregados COM Betume</t>
  </si>
  <si>
    <t>Agregados SEM Betume</t>
  </si>
  <si>
    <t>TRAÇO 4</t>
  </si>
  <si>
    <t>DIGITAR SÓ  NAS CÉLULAS COLORIDAS</t>
  </si>
  <si>
    <t>atualizado : jun/2020</t>
  </si>
  <si>
    <t>tubo ø60
610.600</t>
  </si>
  <si>
    <t>l.</t>
  </si>
  <si>
    <t>U</t>
  </si>
  <si>
    <t>V</t>
  </si>
  <si>
    <t>W</t>
  </si>
  <si>
    <t>X</t>
  </si>
  <si>
    <t>Plantio de Árvore com altura de 2m a 4m</t>
  </si>
  <si>
    <t>Reaterro e apiloamento mecânico</t>
  </si>
  <si>
    <t>Imprimação com Emulsão RR-1C- exclusive emulsão</t>
  </si>
  <si>
    <t>Sobre os preços coletados no Site da ANP foram incluídos os impostos, PIS/COFINS (3,65%) e ICMS (18,00%), totalizando 21,65%.</t>
  </si>
  <si>
    <t>PLACA DE OBRA TIPO BANNER, 4,00 X 2,00 M, EM QUADRO DE METALON 20 X 20 MM E LONA 360 G, COM IMPRESSÃO DIGITAL, FIXADA EM ESTRUTURA DE MADEIRA.</t>
  </si>
  <si>
    <t>set;14</t>
  </si>
  <si>
    <t>Orçacivil</t>
  </si>
  <si>
    <t>511000A</t>
  </si>
  <si>
    <t>ANP1</t>
  </si>
  <si>
    <t>PARANÁ</t>
  </si>
  <si>
    <t>Preços de distribuição de produtos asfálticos</t>
  </si>
  <si>
    <t>ANP2</t>
  </si>
  <si>
    <t>REGIÃO SUL</t>
  </si>
  <si>
    <t>Preços de produtores e importadores de derivados de petróleo</t>
  </si>
  <si>
    <t>Grupo de serviço: LIGANTES BETUMINOSOS</t>
  </si>
  <si>
    <t>ANP3</t>
  </si>
  <si>
    <t>produtores sul</t>
  </si>
  <si>
    <t>menor valor
Entre:
ANP-Greca-CBB</t>
  </si>
  <si>
    <r>
      <rPr>
        <b/>
        <sz val="9"/>
        <rFont val="Arial"/>
        <family val="2"/>
      </rPr>
      <t>Código</t>
    </r>
  </si>
  <si>
    <r>
      <rPr>
        <b/>
        <sz val="9"/>
        <rFont val="Arial"/>
        <family val="2"/>
      </rPr>
      <t>Descrição do Serviço</t>
    </r>
  </si>
  <si>
    <r>
      <rPr>
        <b/>
        <sz val="9"/>
        <rFont val="Arial"/>
        <family val="2"/>
      </rPr>
      <t>Unidade</t>
    </r>
  </si>
  <si>
    <t>Custo 
Unitário
SEM 
IMPOSTO</t>
  </si>
  <si>
    <t>Custo 
Unitário
(+21,65%)</t>
  </si>
  <si>
    <t>Custo 
Unitário
Paranacidade
Maio 2021
2ª  PUBLICAÇÃO</t>
  </si>
  <si>
    <t>Custo 
Unitário
Paranacidade
Maio 2021
1ª  PUBLICAÇÃO</t>
  </si>
  <si>
    <t>Fornecimento de asfalto diluído CM-30</t>
  </si>
  <si>
    <t>t</t>
  </si>
  <si>
    <t>Fornecimento de asfalto modificado por borracha AB8</t>
  </si>
  <si>
    <t>Fornecimento de CAP-30/45</t>
  </si>
  <si>
    <t>Fornecimento de CAP-50/70</t>
  </si>
  <si>
    <t>Fornecimento de emulsão asfáltica EAI p/imprimação</t>
  </si>
  <si>
    <t>Fornecimento de emulsão asfáltica RC-1C-E com polímero</t>
  </si>
  <si>
    <t>Fornecimento de emulsão asfáltica RL-1C</t>
  </si>
  <si>
    <t>Fornecimento de emulsão asfáltica RM-1C</t>
  </si>
  <si>
    <t>Fornecimento de emulsão asfáltica RM-2C</t>
  </si>
  <si>
    <t>Fornecimento de emulsão asfáltica RR-1C</t>
  </si>
  <si>
    <t>Fornecimento de emulsão asfáltica RR-1C-E com polímero</t>
  </si>
  <si>
    <t>Fornecimento de emulsão asfáltica RR-2C</t>
  </si>
  <si>
    <t>Fornecimento de emulsão asfáltica RR-2C-E com polímero</t>
  </si>
  <si>
    <t>'</t>
  </si>
  <si>
    <t>COMPOSIÇÃO1</t>
  </si>
  <si>
    <t>605000K</t>
  </si>
  <si>
    <t>601200A</t>
  </si>
  <si>
    <t>601200B</t>
  </si>
  <si>
    <t>610400A</t>
  </si>
  <si>
    <t>610600A</t>
  </si>
  <si>
    <t xml:space="preserve">                           </t>
  </si>
  <si>
    <t>5.061,15</t>
  </si>
  <si>
    <t>EMULSAO ASFALTICA ANIONICA</t>
  </si>
  <si>
    <t xml:space="preserve">L     </t>
  </si>
  <si>
    <t>CR</t>
  </si>
  <si>
    <t>6,01</t>
  </si>
  <si>
    <t>EMULSAO ASFALTICA CATIONICA RL-1C PARA USO EM PAVIMENTACAO ASFALTICA (COLETADO CAIXA NA ANP ACRESCIDO DE ICMS)</t>
  </si>
  <si>
    <t xml:space="preserve">T     </t>
  </si>
  <si>
    <t xml:space="preserve">C </t>
  </si>
  <si>
    <t>3.535,55</t>
  </si>
  <si>
    <t>EMULSAO ASFALTICA CATIONICA RR-2C PARA USO EM PAVIMENTACAO ASFALTICA (COLETADO CAIXA NA ANP ACRESCIDO DE ICMS)</t>
  </si>
  <si>
    <t xml:space="preserve">KG    </t>
  </si>
  <si>
    <t>3,81</t>
  </si>
  <si>
    <t>EMULSAO EXPLOSIVA EM CARTUCHOS DE 1" X 12", DENSIDADE 1.15 G/CM3, INICIACAO ESPOLETA N. 8 / CORDEL</t>
  </si>
  <si>
    <t>AS</t>
  </si>
  <si>
    <t>26,73</t>
  </si>
  <si>
    <t>EMULSAO EXPLOSIVA EM CARTUCHOS DE 1" X 24", DENSIDADE 1.15 G/CM3, INICIACAO ESPOLETA N. 8 / CORDEL</t>
  </si>
  <si>
    <t>EMULSAO EXPLOSIVA EM CARTUCHOS DE 1" X 8", DENSIDADE 1.15 G/CM3, INICIACAO ESPOLETA N. 8 / CORDEL</t>
  </si>
  <si>
    <t>EMULSAO EXPLOSIVA EM CARTUCHOS DE 2 1/2" X 24", DENSIDADE 1.15 G/CM3, INICIACAO ESPOLETA N. 8 / CORDEL</t>
  </si>
  <si>
    <t>20,23</t>
  </si>
  <si>
    <t>ASFALTO MODIFICADO TIPO II - NBR 9910 (ASFALTO OXIDADO PARA IMPERMEABILIZACAO, COEFICIENTE DE PENETRACAO 20-35)</t>
  </si>
  <si>
    <t>10,32</t>
  </si>
  <si>
    <t>ASFALTO MODIFICADO TIPO III - NBR 9910 (ASFALTO OXIDADO PARA IMPERMEABILIZACAO, COEFICIENTE DE PENETRACAO 15-25)</t>
  </si>
  <si>
    <t>11,58</t>
  </si>
  <si>
    <t>CIMENTO ASFALTICO DE PETROLEO A GRANEL (CAP) 50/70 (COLETADO CAIXA NA ANP ACRESCIDO DE ICMS)</t>
  </si>
  <si>
    <t>ANP 1 
(Produtores)
 15 NOVEMBRO / 2021</t>
  </si>
  <si>
    <t>ANP 2 
(Distribuidores Estado)
FEVEREIRO / 2022</t>
  </si>
  <si>
    <t>ANP 3 
(Distribuidores Região Sul)
FEVEREIRO / 2022</t>
  </si>
  <si>
    <t>Custo 
Unitário
Paranacidade
Agosto 2021
3ª  PUBLICAÇÃO</t>
  </si>
  <si>
    <t>Custo 
Unitário
Paranacidade
Novembro 2021
4ª  PUBLICAÇÃO</t>
  </si>
  <si>
    <t>brasil</t>
  </si>
  <si>
    <t>Paraná</t>
  </si>
  <si>
    <t>anpfev - DISTRIBUIDOR</t>
  </si>
  <si>
    <t>Fornecimento de asfalto modificado por borracha AB22</t>
  </si>
  <si>
    <t>Fornecimento de CAP-modifocado por polímero elastomérico 55/75-E</t>
  </si>
  <si>
    <t>Fornecimento de CAP-modifocado por polímero elastomérico 60/85-E</t>
  </si>
  <si>
    <t>Fornecimento de CAP-modifocado por polímero elastomérico 65/90-E</t>
  </si>
  <si>
    <t>Fornecimento de emulsão asfáltica RL-1C-E com polímero</t>
  </si>
  <si>
    <t>Fornecimento de emulsão asfáltica RM-1C-E com polímero</t>
  </si>
  <si>
    <t>Projeto:</t>
  </si>
  <si>
    <t>SFM</t>
  </si>
  <si>
    <t>531000A</t>
  </si>
  <si>
    <t>560100A</t>
  </si>
  <si>
    <t>589420A</t>
  </si>
  <si>
    <t>DER mat</t>
  </si>
  <si>
    <t>560100B</t>
  </si>
  <si>
    <t>589190A</t>
  </si>
  <si>
    <t>561100A</t>
  </si>
  <si>
    <t>589420B</t>
  </si>
  <si>
    <t>570000C</t>
  </si>
  <si>
    <t>CBUQ - CAPA Traço 2 (Quantidade menor que 10000 toneladas)</t>
  </si>
  <si>
    <t>589000J</t>
  </si>
  <si>
    <t>100576B</t>
  </si>
  <si>
    <t>605000C</t>
  </si>
  <si>
    <t>605000E</t>
  </si>
  <si>
    <t>CAP</t>
  </si>
  <si>
    <t>Extração de corpo de prova de concreto asfáltico com sonda rotativa</t>
  </si>
  <si>
    <t>Mobilização e desmobilização de equipamento e equipe para extração de corpos de prova da capa asfáltica.</t>
  </si>
  <si>
    <t>CM-30</t>
  </si>
  <si>
    <t>set/22</t>
  </si>
  <si>
    <t>out/22</t>
  </si>
  <si>
    <t>PREÇOS DO DER  - LIGANTES</t>
  </si>
  <si>
    <t>(Pesquisa Curitiba)
outubro / 2022</t>
  </si>
  <si>
    <t xml:space="preserve">
set/2017</t>
  </si>
  <si>
    <t xml:space="preserve">
jun/2018</t>
  </si>
  <si>
    <t xml:space="preserve">
mar/2019</t>
  </si>
  <si>
    <t xml:space="preserve">
out/2019</t>
  </si>
  <si>
    <t xml:space="preserve">
jan/2021</t>
  </si>
  <si>
    <t xml:space="preserve">
fev/2022</t>
  </si>
  <si>
    <t xml:space="preserve">
ago/2022</t>
  </si>
  <si>
    <t xml:space="preserve">Greca 
Asfáltos
</t>
  </si>
  <si>
    <t xml:space="preserve">CBB 
Asfáltos
</t>
  </si>
  <si>
    <t>Custo 
Unitário
Paranacidade
Outubro 2022
8ª  PUBLICAÇÃO</t>
  </si>
  <si>
    <t>Custo 
Unitário
Paranacidade
Janeiro 2021
DER</t>
  </si>
  <si>
    <t>Custo 
Unitário
DER
Fevereiro 2022
5ª  PUBLICAÇÃO</t>
  </si>
  <si>
    <t>Custo 
Unitário
Paranacidade
Fevereiro 2022
6ª  PUBLICAÇÃO</t>
  </si>
  <si>
    <t>Custo 
Unitário
DER
Agosto 2022
7ª  PUBLICAÇÃO</t>
  </si>
  <si>
    <t>Custo 
Unitário
DER
ago/2022</t>
  </si>
  <si>
    <t>com desconto Petrobras</t>
  </si>
  <si>
    <t xml:space="preserve"> greca</t>
  </si>
  <si>
    <t>cbb</t>
  </si>
  <si>
    <t>5.232,23</t>
  </si>
  <si>
    <t>3.750,77</t>
  </si>
  <si>
    <t>3.145,55</t>
  </si>
  <si>
    <t>3.227,05</t>
  </si>
  <si>
    <t>3.778,62</t>
  </si>
  <si>
    <t>3.842,38</t>
  </si>
  <si>
    <t>4.028,60</t>
  </si>
  <si>
    <t>2.667,16</t>
  </si>
  <si>
    <t>3.013,00</t>
  </si>
  <si>
    <t>2.547,37</t>
  </si>
  <si>
    <t>2.793,40</t>
  </si>
  <si>
    <t>3.300,00</t>
  </si>
  <si>
    <t>2.377,21</t>
  </si>
  <si>
    <t>Fornecimento de emulsão asfáltica RM-2C-E com polímero</t>
  </si>
  <si>
    <t>3.360,00</t>
  </si>
  <si>
    <t>2.306,77</t>
  </si>
  <si>
    <t>2.695,12</t>
  </si>
  <si>
    <t>2.616,54</t>
  </si>
  <si>
    <t>2.798,30</t>
  </si>
  <si>
    <t>RIO BOM</t>
  </si>
  <si>
    <t>Pavimentação de vias urbanas em CBUQ</t>
  </si>
  <si>
    <t>40</t>
  </si>
  <si>
    <t>vias diversas - Distrito de Santo Antonio de  Palmital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</si>
</sst>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#,##0.00_);\(&quot;R$&quot;#,##0.00\)"/>
    <numFmt numFmtId="166" formatCode="0.000"/>
    <numFmt numFmtId="167" formatCode="0.0000"/>
    <numFmt numFmtId="168" formatCode="&quot;R$&quot;\ #,##0.00"/>
    <numFmt numFmtId="169" formatCode="#,##0.00\ &quot;R$/lote&quot;_);[Red]\(#,##0.00\ &quot;R$/lote&quot;\)"/>
    <numFmt numFmtId="170" formatCode="#,##0.00\ &quot;m2&quot;"/>
    <numFmt numFmtId="171" formatCode="d/m/yy;@"/>
    <numFmt numFmtId="172" formatCode="#,##0_ ;[Red]\-#,##0\ "/>
    <numFmt numFmtId="173" formatCode="0.000%"/>
    <numFmt numFmtId="174" formatCode="#,##0.000"/>
    <numFmt numFmtId="175" formatCode="0.00000"/>
  </numFmts>
  <fonts count="40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MS Sans Serif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u/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indexed="12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  <font>
      <b/>
      <sz val="8"/>
      <color indexed="12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2"/>
      <color theme="1"/>
      <name val="Arial"/>
      <family val="2"/>
    </font>
    <font>
      <u/>
      <sz val="8"/>
      <color theme="10"/>
      <name val="Arial"/>
      <family val="2"/>
    </font>
    <font>
      <b/>
      <sz val="10"/>
      <color rgb="FF000000"/>
      <name val="Times New Roman"/>
      <family val="1"/>
    </font>
    <font>
      <b/>
      <sz val="9"/>
      <name val="Arial"/>
      <family val="2"/>
    </font>
    <font>
      <sz val="10"/>
      <color rgb="FF000000"/>
      <name val="Arial"/>
      <family val="2"/>
    </font>
    <font>
      <b/>
      <i/>
      <u/>
      <sz val="10"/>
      <color rgb="FF000000"/>
      <name val="Arial"/>
      <family val="2"/>
    </font>
    <font>
      <sz val="8"/>
      <color indexed="9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lightGray">
        <bgColor theme="0"/>
      </patternFill>
    </fill>
    <fill>
      <patternFill patternType="lightGray">
        <bgColor rgb="FF92D050"/>
      </patternFill>
    </fill>
  </fills>
  <borders count="1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/>
      <diagonal/>
    </border>
    <border>
      <left/>
      <right style="medium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Dot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/>
      <bottom style="medium">
        <color indexed="64"/>
      </bottom>
      <diagonal/>
    </border>
    <border>
      <left/>
      <right style="mediumDashDot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DotDot">
        <color indexed="64"/>
      </right>
      <top style="medium">
        <color indexed="64"/>
      </top>
      <bottom style="thin">
        <color indexed="64"/>
      </bottom>
      <diagonal/>
    </border>
    <border>
      <left style="dashDotDot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60">
    <xf numFmtId="0" fontId="0" fillId="0" borderId="0"/>
    <xf numFmtId="0" fontId="6" fillId="0" borderId="0"/>
    <xf numFmtId="0" fontId="5" fillId="0" borderId="0"/>
    <xf numFmtId="164" fontId="5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1" fillId="0" borderId="0"/>
    <xf numFmtId="0" fontId="13" fillId="0" borderId="0"/>
    <xf numFmtId="43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30" fillId="0" borderId="0" applyNumberForma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37" fillId="0" borderId="0"/>
    <xf numFmtId="0" fontId="29" fillId="0" borderId="0"/>
    <xf numFmtId="0" fontId="29" fillId="0" borderId="0"/>
    <xf numFmtId="44" fontId="37" fillId="0" borderId="0" applyFont="0" applyFill="0" applyBorder="0" applyAlignment="0" applyProtection="0"/>
    <xf numFmtId="44" fontId="38" fillId="0" borderId="0" applyFont="0" applyFill="0" applyBorder="0" applyAlignment="0" applyProtection="0"/>
    <xf numFmtId="0" fontId="37" fillId="0" borderId="0"/>
    <xf numFmtId="44" fontId="7" fillId="0" borderId="0" applyFill="0" applyBorder="0" applyAlignment="0" applyProtection="0"/>
    <xf numFmtId="43" fontId="7" fillId="0" borderId="0" applyFill="0" applyBorder="0" applyAlignment="0" applyProtection="0"/>
    <xf numFmtId="0" fontId="37" fillId="0" borderId="0"/>
    <xf numFmtId="44" fontId="5" fillId="0" borderId="0" applyFont="0" applyFill="0" applyBorder="0" applyAlignment="0" applyProtection="0"/>
    <xf numFmtId="0" fontId="39" fillId="0" borderId="0"/>
  </cellStyleXfs>
  <cellXfs count="649">
    <xf numFmtId="0" fontId="0" fillId="0" borderId="0" xfId="0"/>
    <xf numFmtId="1" fontId="9" fillId="2" borderId="7" xfId="1" applyNumberFormat="1" applyFont="1" applyFill="1" applyBorder="1" applyAlignment="1">
      <alignment horizontal="center"/>
    </xf>
    <xf numFmtId="1" fontId="9" fillId="2" borderId="6" xfId="1" applyNumberFormat="1" applyFont="1" applyFill="1" applyBorder="1" applyAlignment="1">
      <alignment horizontal="center"/>
    </xf>
    <xf numFmtId="0" fontId="16" fillId="0" borderId="12" xfId="14" applyFont="1" applyBorder="1" applyAlignment="1">
      <alignment horizontal="centerContinuous"/>
    </xf>
    <xf numFmtId="0" fontId="6" fillId="0" borderId="10" xfId="14" applyBorder="1" applyAlignment="1">
      <alignment horizontal="centerContinuous"/>
    </xf>
    <xf numFmtId="0" fontId="6" fillId="0" borderId="13" xfId="14" applyBorder="1" applyAlignment="1">
      <alignment horizontal="centerContinuous"/>
    </xf>
    <xf numFmtId="0" fontId="6" fillId="0" borderId="0" xfId="14" applyProtection="1">
      <protection locked="0"/>
    </xf>
    <xf numFmtId="0" fontId="12" fillId="0" borderId="14" xfId="14" applyFont="1" applyBorder="1" applyAlignment="1">
      <alignment horizontal="left"/>
    </xf>
    <xf numFmtId="0" fontId="14" fillId="0" borderId="3" xfId="14" applyFont="1" applyBorder="1" applyAlignment="1">
      <alignment horizontal="centerContinuous"/>
    </xf>
    <xf numFmtId="0" fontId="14" fillId="0" borderId="34" xfId="14" applyFont="1" applyBorder="1" applyAlignment="1">
      <alignment horizontal="centerContinuous"/>
    </xf>
    <xf numFmtId="0" fontId="6" fillId="0" borderId="0" xfId="14" applyAlignment="1">
      <alignment horizontal="center"/>
    </xf>
    <xf numFmtId="0" fontId="6" fillId="0" borderId="15" xfId="14" applyBorder="1" applyAlignment="1">
      <alignment horizontal="center"/>
    </xf>
    <xf numFmtId="0" fontId="16" fillId="0" borderId="16" xfId="14" applyFont="1" applyBorder="1" applyAlignment="1">
      <alignment horizontal="centerContinuous"/>
    </xf>
    <xf numFmtId="0" fontId="6" fillId="0" borderId="11" xfId="14" applyBorder="1" applyAlignment="1">
      <alignment horizontal="centerContinuous"/>
    </xf>
    <xf numFmtId="0" fontId="6" fillId="0" borderId="17" xfId="14" applyBorder="1" applyAlignment="1">
      <alignment horizontal="centerContinuous"/>
    </xf>
    <xf numFmtId="0" fontId="14" fillId="0" borderId="14" xfId="14" applyFont="1" applyBorder="1" applyAlignment="1">
      <alignment horizontal="centerContinuous"/>
    </xf>
    <xf numFmtId="0" fontId="6" fillId="0" borderId="0" xfId="14" applyAlignment="1">
      <alignment horizontal="centerContinuous"/>
    </xf>
    <xf numFmtId="0" fontId="6" fillId="0" borderId="15" xfId="14" applyBorder="1" applyAlignment="1">
      <alignment horizontal="centerContinuous"/>
    </xf>
    <xf numFmtId="0" fontId="14" fillId="0" borderId="70" xfId="14" applyFont="1" applyBorder="1"/>
    <xf numFmtId="3" fontId="14" fillId="8" borderId="71" xfId="16" applyNumberFormat="1" applyFont="1" applyFill="1" applyBorder="1" applyAlignment="1" applyProtection="1">
      <alignment horizontal="center"/>
      <protection locked="0"/>
    </xf>
    <xf numFmtId="0" fontId="6" fillId="0" borderId="10" xfId="14" applyBorder="1"/>
    <xf numFmtId="0" fontId="14" fillId="0" borderId="72" xfId="14" applyFont="1" applyBorder="1"/>
    <xf numFmtId="3" fontId="14" fillId="8" borderId="73" xfId="16" applyNumberFormat="1" applyFont="1" applyFill="1" applyBorder="1" applyAlignment="1" applyProtection="1">
      <alignment horizontal="center"/>
      <protection locked="0"/>
    </xf>
    <xf numFmtId="0" fontId="17" fillId="0" borderId="0" xfId="14" quotePrefix="1" applyFont="1" applyAlignment="1">
      <alignment horizontal="left"/>
    </xf>
    <xf numFmtId="0" fontId="14" fillId="0" borderId="70" xfId="14" quotePrefix="1" applyFont="1" applyBorder="1" applyAlignment="1">
      <alignment horizontal="center"/>
    </xf>
    <xf numFmtId="0" fontId="14" fillId="0" borderId="0" xfId="14" quotePrefix="1" applyFont="1" applyAlignment="1">
      <alignment horizontal="left"/>
    </xf>
    <xf numFmtId="0" fontId="14" fillId="0" borderId="74" xfId="14" applyFont="1" applyBorder="1" applyAlignment="1">
      <alignment horizontal="center"/>
    </xf>
    <xf numFmtId="0" fontId="6" fillId="0" borderId="11" xfId="14" applyBorder="1"/>
    <xf numFmtId="3" fontId="15" fillId="0" borderId="26" xfId="16" applyNumberFormat="1" applyFont="1" applyBorder="1" applyAlignment="1">
      <alignment horizontal="left" indent="8"/>
    </xf>
    <xf numFmtId="0" fontId="15" fillId="0" borderId="26" xfId="14" applyFont="1" applyBorder="1"/>
    <xf numFmtId="1" fontId="15" fillId="0" borderId="34" xfId="14" applyNumberFormat="1" applyFont="1" applyBorder="1" applyAlignment="1">
      <alignment horizontal="center"/>
    </xf>
    <xf numFmtId="0" fontId="6" fillId="0" borderId="12" xfId="14" applyBorder="1"/>
    <xf numFmtId="0" fontId="6" fillId="0" borderId="13" xfId="14" applyBorder="1"/>
    <xf numFmtId="0" fontId="14" fillId="0" borderId="16" xfId="14" applyFont="1" applyBorder="1" applyAlignment="1">
      <alignment horizontal="centerContinuous"/>
    </xf>
    <xf numFmtId="0" fontId="14" fillId="0" borderId="76" xfId="14" applyFont="1" applyBorder="1"/>
    <xf numFmtId="0" fontId="6" fillId="0" borderId="70" xfId="14" applyBorder="1"/>
    <xf numFmtId="0" fontId="17" fillId="0" borderId="77" xfId="14" quotePrefix="1" applyFont="1" applyBorder="1" applyAlignment="1">
      <alignment horizontal="center"/>
    </xf>
    <xf numFmtId="0" fontId="17" fillId="0" borderId="0" xfId="14" quotePrefix="1" applyFont="1" applyAlignment="1">
      <alignment horizontal="left" indent="2"/>
    </xf>
    <xf numFmtId="0" fontId="14" fillId="0" borderId="77" xfId="14" applyFont="1" applyBorder="1" applyAlignment="1">
      <alignment horizontal="center"/>
    </xf>
    <xf numFmtId="0" fontId="14" fillId="0" borderId="0" xfId="14" quotePrefix="1" applyFont="1" applyAlignment="1">
      <alignment horizontal="left" indent="2"/>
    </xf>
    <xf numFmtId="0" fontId="14" fillId="0" borderId="74" xfId="14" applyFont="1" applyBorder="1"/>
    <xf numFmtId="3" fontId="15" fillId="0" borderId="11" xfId="16" applyNumberFormat="1" applyFont="1" applyBorder="1" applyAlignment="1">
      <alignment horizontal="left" indent="8"/>
    </xf>
    <xf numFmtId="0" fontId="15" fillId="0" borderId="11" xfId="14" applyFont="1" applyBorder="1"/>
    <xf numFmtId="1" fontId="15" fillId="0" borderId="17" xfId="14" applyNumberFormat="1" applyFont="1" applyBorder="1" applyAlignment="1">
      <alignment horizontal="center"/>
    </xf>
    <xf numFmtId="167" fontId="9" fillId="2" borderId="6" xfId="1" applyNumberFormat="1" applyFont="1" applyFill="1" applyBorder="1" applyAlignment="1">
      <alignment horizontal="center"/>
    </xf>
    <xf numFmtId="0" fontId="0" fillId="2" borderId="0" xfId="0" applyFill="1"/>
    <xf numFmtId="0" fontId="18" fillId="9" borderId="12" xfId="18" applyFont="1" applyFill="1" applyBorder="1" applyAlignment="1">
      <alignment horizontal="right"/>
    </xf>
    <xf numFmtId="0" fontId="18" fillId="9" borderId="10" xfId="18" applyFont="1" applyFill="1" applyBorder="1"/>
    <xf numFmtId="0" fontId="3" fillId="9" borderId="13" xfId="18" applyFill="1" applyBorder="1"/>
    <xf numFmtId="0" fontId="3" fillId="0" borderId="0" xfId="18"/>
    <xf numFmtId="0" fontId="3" fillId="9" borderId="14" xfId="18" applyFill="1" applyBorder="1"/>
    <xf numFmtId="0" fontId="18" fillId="9" borderId="0" xfId="18" applyFont="1" applyFill="1"/>
    <xf numFmtId="0" fontId="3" fillId="9" borderId="0" xfId="18" applyFill="1"/>
    <xf numFmtId="0" fontId="3" fillId="9" borderId="15" xfId="18" applyFill="1" applyBorder="1"/>
    <xf numFmtId="0" fontId="20" fillId="9" borderId="36" xfId="18" applyFont="1" applyFill="1" applyBorder="1" applyAlignment="1">
      <alignment horizontal="center"/>
    </xf>
    <xf numFmtId="0" fontId="20" fillId="9" borderId="7" xfId="18" applyFont="1" applyFill="1" applyBorder="1" applyAlignment="1">
      <alignment horizontal="centerContinuous"/>
    </xf>
    <xf numFmtId="0" fontId="20" fillId="9" borderId="39" xfId="18" applyFont="1" applyFill="1" applyBorder="1" applyAlignment="1">
      <alignment horizontal="centerContinuous"/>
    </xf>
    <xf numFmtId="0" fontId="20" fillId="9" borderId="29" xfId="18" applyFont="1" applyFill="1" applyBorder="1" applyAlignment="1">
      <alignment horizontal="center"/>
    </xf>
    <xf numFmtId="0" fontId="20" fillId="9" borderId="6" xfId="18" applyFont="1" applyFill="1" applyBorder="1" applyAlignment="1">
      <alignment horizontal="center"/>
    </xf>
    <xf numFmtId="0" fontId="18" fillId="9" borderId="0" xfId="18" applyFont="1" applyFill="1" applyAlignment="1">
      <alignment horizontal="right"/>
    </xf>
    <xf numFmtId="0" fontId="18" fillId="9" borderId="0" xfId="18" applyFont="1" applyFill="1" applyAlignment="1">
      <alignment horizontal="left"/>
    </xf>
    <xf numFmtId="0" fontId="20" fillId="9" borderId="0" xfId="18" applyFont="1" applyFill="1"/>
    <xf numFmtId="0" fontId="18" fillId="9" borderId="14" xfId="18" applyFont="1" applyFill="1" applyBorder="1" applyAlignment="1">
      <alignment horizontal="right"/>
    </xf>
    <xf numFmtId="0" fontId="3" fillId="9" borderId="16" xfId="18" applyFill="1" applyBorder="1"/>
    <xf numFmtId="0" fontId="20" fillId="9" borderId="24" xfId="18" applyFont="1" applyFill="1" applyBorder="1" applyAlignment="1">
      <alignment horizontal="center"/>
    </xf>
    <xf numFmtId="0" fontId="3" fillId="9" borderId="11" xfId="18" applyFill="1" applyBorder="1"/>
    <xf numFmtId="0" fontId="3" fillId="9" borderId="17" xfId="18" applyFill="1" applyBorder="1"/>
    <xf numFmtId="0" fontId="6" fillId="0" borderId="0" xfId="14"/>
    <xf numFmtId="0" fontId="12" fillId="3" borderId="21" xfId="14" applyFont="1" applyFill="1" applyBorder="1" applyAlignment="1">
      <alignment horizontal="center" wrapText="1"/>
    </xf>
    <xf numFmtId="0" fontId="6" fillId="3" borderId="20" xfId="14" quotePrefix="1" applyFill="1" applyBorder="1" applyAlignment="1">
      <alignment horizontal="left" vertical="center" indent="3"/>
    </xf>
    <xf numFmtId="0" fontId="12" fillId="3" borderId="20" xfId="14" applyFont="1" applyFill="1" applyBorder="1" applyAlignment="1">
      <alignment horizontal="centerContinuous"/>
    </xf>
    <xf numFmtId="0" fontId="6" fillId="3" borderId="20" xfId="14" quotePrefix="1" applyFill="1" applyBorder="1" applyAlignment="1">
      <alignment horizontal="left"/>
    </xf>
    <xf numFmtId="0" fontId="6" fillId="3" borderId="10" xfId="14" applyFill="1" applyBorder="1"/>
    <xf numFmtId="0" fontId="16" fillId="3" borderId="10" xfId="14" applyFont="1" applyFill="1" applyBorder="1" applyAlignment="1">
      <alignment vertical="center"/>
    </xf>
    <xf numFmtId="0" fontId="6" fillId="3" borderId="20" xfId="14" applyFill="1" applyBorder="1"/>
    <xf numFmtId="0" fontId="6" fillId="3" borderId="13" xfId="14" applyFill="1" applyBorder="1"/>
    <xf numFmtId="0" fontId="7" fillId="3" borderId="78" xfId="14" applyFont="1" applyFill="1" applyBorder="1" applyAlignment="1">
      <alignment horizontal="left"/>
    </xf>
    <xf numFmtId="2" fontId="7" fillId="10" borderId="79" xfId="14" applyNumberFormat="1" applyFont="1" applyFill="1" applyBorder="1" applyAlignment="1" applyProtection="1">
      <alignment horizontal="left"/>
      <protection locked="0"/>
    </xf>
    <xf numFmtId="0" fontId="7" fillId="10" borderId="54" xfId="14" applyFont="1" applyFill="1" applyBorder="1" applyAlignment="1" applyProtection="1">
      <alignment horizontal="left"/>
      <protection locked="0"/>
    </xf>
    <xf numFmtId="0" fontId="7" fillId="0" borderId="80" xfId="14" applyFont="1" applyBorder="1" applyAlignment="1">
      <alignment horizontal="left"/>
    </xf>
    <xf numFmtId="1" fontId="7" fillId="10" borderId="39" xfId="14" applyNumberFormat="1" applyFont="1" applyFill="1" applyBorder="1" applyAlignment="1" applyProtection="1">
      <alignment horizontal="center"/>
      <protection locked="0"/>
    </xf>
    <xf numFmtId="0" fontId="4" fillId="0" borderId="80" xfId="14" applyFont="1" applyBorder="1" applyAlignment="1">
      <alignment horizontal="centerContinuous"/>
    </xf>
    <xf numFmtId="49" fontId="4" fillId="0" borderId="39" xfId="14" applyNumberFormat="1" applyFont="1" applyBorder="1" applyAlignment="1">
      <alignment horizontal="centerContinuous"/>
    </xf>
    <xf numFmtId="49" fontId="4" fillId="0" borderId="81" xfId="14" applyNumberFormat="1" applyFont="1" applyBorder="1" applyAlignment="1">
      <alignment horizontal="centerContinuous"/>
    </xf>
    <xf numFmtId="0" fontId="4" fillId="3" borderId="7" xfId="14" applyFont="1" applyFill="1" applyBorder="1" applyAlignment="1">
      <alignment horizontal="centerContinuous"/>
    </xf>
    <xf numFmtId="0" fontId="4" fillId="3" borderId="54" xfId="14" applyFont="1" applyFill="1" applyBorder="1" applyAlignment="1">
      <alignment horizontal="centerContinuous"/>
    </xf>
    <xf numFmtId="4" fontId="4" fillId="10" borderId="82" xfId="14" applyNumberFormat="1" applyFont="1" applyFill="1" applyBorder="1" applyAlignment="1" applyProtection="1">
      <alignment horizontal="center"/>
      <protection locked="0"/>
    </xf>
    <xf numFmtId="10" fontId="4" fillId="0" borderId="83" xfId="17" applyNumberFormat="1" applyFont="1" applyFill="1" applyBorder="1" applyAlignment="1" applyProtection="1">
      <alignment horizontal="center"/>
    </xf>
    <xf numFmtId="0" fontId="7" fillId="3" borderId="84" xfId="14" applyFont="1" applyFill="1" applyBorder="1" applyAlignment="1">
      <alignment horizontal="left"/>
    </xf>
    <xf numFmtId="49" fontId="7" fillId="10" borderId="85" xfId="14" applyNumberFormat="1" applyFont="1" applyFill="1" applyBorder="1" applyProtection="1">
      <protection locked="0"/>
    </xf>
    <xf numFmtId="0" fontId="7" fillId="10" borderId="11" xfId="14" applyFont="1" applyFill="1" applyBorder="1" applyProtection="1">
      <protection locked="0"/>
    </xf>
    <xf numFmtId="0" fontId="7" fillId="10" borderId="11" xfId="14" applyFont="1" applyFill="1" applyBorder="1" applyAlignment="1" applyProtection="1">
      <alignment horizontal="left"/>
      <protection locked="0"/>
    </xf>
    <xf numFmtId="0" fontId="7" fillId="0" borderId="86" xfId="14" applyFont="1" applyBorder="1" applyAlignment="1">
      <alignment horizontal="left"/>
    </xf>
    <xf numFmtId="1" fontId="7" fillId="10" borderId="69" xfId="14" applyNumberFormat="1" applyFont="1" applyFill="1" applyBorder="1" applyAlignment="1" applyProtection="1">
      <alignment horizontal="center"/>
      <protection locked="0"/>
    </xf>
    <xf numFmtId="0" fontId="4" fillId="0" borderId="86" xfId="14" applyFont="1" applyBorder="1" applyAlignment="1">
      <alignment horizontal="center"/>
    </xf>
    <xf numFmtId="14" fontId="4" fillId="0" borderId="69" xfId="14" applyNumberFormat="1" applyFont="1" applyBorder="1" applyAlignment="1" applyProtection="1">
      <alignment horizontal="center"/>
      <protection locked="0"/>
    </xf>
    <xf numFmtId="1" fontId="4" fillId="10" borderId="69" xfId="14" applyNumberFormat="1" applyFont="1" applyFill="1" applyBorder="1" applyAlignment="1" applyProtection="1">
      <alignment horizontal="center"/>
      <protection locked="0"/>
    </xf>
    <xf numFmtId="14" fontId="4" fillId="0" borderId="87" xfId="14" applyNumberFormat="1" applyFont="1" applyBorder="1" applyAlignment="1">
      <alignment horizontal="center"/>
    </xf>
    <xf numFmtId="0" fontId="4" fillId="3" borderId="88" xfId="14" applyFont="1" applyFill="1" applyBorder="1" applyAlignment="1">
      <alignment horizontal="centerContinuous"/>
    </xf>
    <xf numFmtId="0" fontId="4" fillId="3" borderId="58" xfId="14" applyFont="1" applyFill="1" applyBorder="1" applyAlignment="1">
      <alignment horizontal="centerContinuous"/>
    </xf>
    <xf numFmtId="0" fontId="4" fillId="3" borderId="11" xfId="14" applyFont="1" applyFill="1" applyBorder="1" applyAlignment="1">
      <alignment horizontal="centerContinuous"/>
    </xf>
    <xf numFmtId="4" fontId="4" fillId="10" borderId="89" xfId="14" applyNumberFormat="1" applyFont="1" applyFill="1" applyBorder="1" applyAlignment="1" applyProtection="1">
      <alignment horizontal="center"/>
      <protection locked="0"/>
    </xf>
    <xf numFmtId="10" fontId="4" fillId="0" borderId="90" xfId="17" applyNumberFormat="1" applyFont="1" applyFill="1" applyBorder="1" applyAlignment="1" applyProtection="1">
      <alignment horizontal="center"/>
    </xf>
    <xf numFmtId="0" fontId="7" fillId="3" borderId="91" xfId="14" applyFont="1" applyFill="1" applyBorder="1" applyAlignment="1">
      <alignment horizontal="left"/>
    </xf>
    <xf numFmtId="170" fontId="7" fillId="9" borderId="92" xfId="14" applyNumberFormat="1" applyFont="1" applyFill="1" applyBorder="1" applyAlignment="1">
      <alignment horizontal="left" indent="1"/>
    </xf>
    <xf numFmtId="0" fontId="15" fillId="3" borderId="93" xfId="14" applyFont="1" applyFill="1" applyBorder="1" applyAlignment="1">
      <alignment horizontal="center"/>
    </xf>
    <xf numFmtId="0" fontId="14" fillId="3" borderId="65" xfId="14" applyFont="1" applyFill="1" applyBorder="1" applyAlignment="1">
      <alignment horizontal="centerContinuous"/>
    </xf>
    <xf numFmtId="0" fontId="15" fillId="3" borderId="10" xfId="14" applyFont="1" applyFill="1" applyBorder="1" applyAlignment="1">
      <alignment horizontal="centerContinuous"/>
    </xf>
    <xf numFmtId="0" fontId="4" fillId="3" borderId="93" xfId="14" applyFont="1" applyFill="1" applyBorder="1" applyAlignment="1">
      <alignment horizontal="centerContinuous"/>
    </xf>
    <xf numFmtId="0" fontId="4" fillId="3" borderId="20" xfId="14" applyFont="1" applyFill="1" applyBorder="1" applyAlignment="1">
      <alignment horizontal="centerContinuous"/>
    </xf>
    <xf numFmtId="40" fontId="21" fillId="3" borderId="94" xfId="14" applyNumberFormat="1" applyFont="1" applyFill="1" applyBorder="1"/>
    <xf numFmtId="10" fontId="5" fillId="0" borderId="95" xfId="17" applyNumberFormat="1" applyFont="1" applyFill="1" applyBorder="1" applyProtection="1"/>
    <xf numFmtId="0" fontId="7" fillId="2" borderId="27" xfId="14" applyFont="1" applyFill="1" applyBorder="1" applyAlignment="1" applyProtection="1">
      <alignment horizontal="center"/>
      <protection locked="0"/>
    </xf>
    <xf numFmtId="1" fontId="7" fillId="11" borderId="103" xfId="14" applyNumberFormat="1" applyFont="1" applyFill="1" applyBorder="1" applyAlignment="1" applyProtection="1">
      <alignment horizontal="center"/>
      <protection locked="0"/>
    </xf>
    <xf numFmtId="0" fontId="5" fillId="0" borderId="0" xfId="14" applyFont="1"/>
    <xf numFmtId="0" fontId="6" fillId="3" borderId="111" xfId="14" applyFill="1" applyBorder="1"/>
    <xf numFmtId="0" fontId="6" fillId="3" borderId="112" xfId="14" applyFill="1" applyBorder="1"/>
    <xf numFmtId="0" fontId="5" fillId="3" borderId="112" xfId="14" applyFont="1" applyFill="1" applyBorder="1"/>
    <xf numFmtId="40" fontId="5" fillId="3" borderId="112" xfId="14" applyNumberFormat="1" applyFont="1" applyFill="1" applyBorder="1"/>
    <xf numFmtId="0" fontId="5" fillId="3" borderId="113" xfId="14" applyFont="1" applyFill="1" applyBorder="1"/>
    <xf numFmtId="0" fontId="6" fillId="3" borderId="114" xfId="14" applyFill="1" applyBorder="1"/>
    <xf numFmtId="0" fontId="7" fillId="3" borderId="115" xfId="14" applyFont="1" applyFill="1" applyBorder="1" applyAlignment="1">
      <alignment horizontal="centerContinuous"/>
    </xf>
    <xf numFmtId="0" fontId="6" fillId="3" borderId="115" xfId="14" applyFill="1" applyBorder="1" applyAlignment="1">
      <alignment horizontal="centerContinuous"/>
    </xf>
    <xf numFmtId="0" fontId="5" fillId="3" borderId="115" xfId="14" applyFont="1" applyFill="1" applyBorder="1"/>
    <xf numFmtId="40" fontId="21" fillId="3" borderId="116" xfId="14" applyNumberFormat="1" applyFont="1" applyFill="1" applyBorder="1"/>
    <xf numFmtId="0" fontId="21" fillId="3" borderId="117" xfId="14" applyFont="1" applyFill="1" applyBorder="1"/>
    <xf numFmtId="0" fontId="14" fillId="3" borderId="61" xfId="14" applyFont="1" applyFill="1" applyBorder="1" applyAlignment="1">
      <alignment horizontal="centerContinuous"/>
    </xf>
    <xf numFmtId="0" fontId="15" fillId="3" borderId="57" xfId="14" applyFont="1" applyFill="1" applyBorder="1" applyAlignment="1">
      <alignment horizontal="centerContinuous"/>
    </xf>
    <xf numFmtId="0" fontId="5" fillId="3" borderId="57" xfId="14" applyFont="1" applyFill="1" applyBorder="1" applyAlignment="1">
      <alignment horizontal="centerContinuous"/>
    </xf>
    <xf numFmtId="0" fontId="5" fillId="3" borderId="45" xfId="14" applyFont="1" applyFill="1" applyBorder="1" applyAlignment="1">
      <alignment horizontal="centerContinuous"/>
    </xf>
    <xf numFmtId="0" fontId="6" fillId="3" borderId="100" xfId="14" applyFill="1" applyBorder="1" applyAlignment="1">
      <alignment horizontal="center"/>
    </xf>
    <xf numFmtId="0" fontId="6" fillId="3" borderId="102" xfId="14" applyFill="1" applyBorder="1" applyAlignment="1">
      <alignment horizontal="center"/>
    </xf>
    <xf numFmtId="0" fontId="5" fillId="3" borderId="102" xfId="14" applyFont="1" applyFill="1" applyBorder="1" applyAlignment="1">
      <alignment horizontal="centerContinuous"/>
    </xf>
    <xf numFmtId="0" fontId="5" fillId="3" borderId="118" xfId="14" applyFont="1" applyFill="1" applyBorder="1" applyAlignment="1">
      <alignment horizontal="centerContinuous"/>
    </xf>
    <xf numFmtId="0" fontId="5" fillId="3" borderId="98" xfId="14" applyFont="1" applyFill="1" applyBorder="1" applyAlignment="1">
      <alignment horizontal="center"/>
    </xf>
    <xf numFmtId="0" fontId="5" fillId="3" borderId="99" xfId="14" applyFont="1" applyFill="1" applyBorder="1" applyAlignment="1">
      <alignment horizontal="center"/>
    </xf>
    <xf numFmtId="0" fontId="6" fillId="3" borderId="107" xfId="14" applyFill="1" applyBorder="1" applyAlignment="1">
      <alignment horizontal="center"/>
    </xf>
    <xf numFmtId="0" fontId="6" fillId="3" borderId="119" xfId="14" applyFill="1" applyBorder="1" applyAlignment="1">
      <alignment horizontal="center"/>
    </xf>
    <xf numFmtId="0" fontId="6" fillId="3" borderId="120" xfId="14" applyFill="1" applyBorder="1" applyAlignment="1">
      <alignment horizontal="center"/>
    </xf>
    <xf numFmtId="0" fontId="5" fillId="3" borderId="120" xfId="14" applyFont="1" applyFill="1" applyBorder="1" applyAlignment="1">
      <alignment horizontal="center"/>
    </xf>
    <xf numFmtId="0" fontId="5" fillId="3" borderId="121" xfId="14" applyFont="1" applyFill="1" applyBorder="1" applyAlignment="1">
      <alignment horizontal="center"/>
    </xf>
    <xf numFmtId="0" fontId="5" fillId="3" borderId="110" xfId="14" applyFont="1" applyFill="1" applyBorder="1" applyAlignment="1">
      <alignment horizontal="center"/>
    </xf>
    <xf numFmtId="0" fontId="5" fillId="3" borderId="42" xfId="14" applyFont="1" applyFill="1" applyBorder="1" applyAlignment="1">
      <alignment horizontal="center"/>
    </xf>
    <xf numFmtId="0" fontId="5" fillId="3" borderId="30" xfId="14" applyFont="1" applyFill="1" applyBorder="1" applyAlignment="1">
      <alignment horizontal="center"/>
    </xf>
    <xf numFmtId="49" fontId="5" fillId="3" borderId="36" xfId="14" applyNumberFormat="1" applyFont="1" applyFill="1" applyBorder="1"/>
    <xf numFmtId="0" fontId="5" fillId="3" borderId="39" xfId="14" applyFont="1" applyFill="1" applyBorder="1"/>
    <xf numFmtId="0" fontId="5" fillId="3" borderId="6" xfId="14" applyFont="1" applyFill="1" applyBorder="1"/>
    <xf numFmtId="40" fontId="5" fillId="3" borderId="6" xfId="14" applyNumberFormat="1" applyFont="1" applyFill="1" applyBorder="1"/>
    <xf numFmtId="40" fontId="5" fillId="3" borderId="122" xfId="14" applyNumberFormat="1" applyFont="1" applyFill="1" applyBorder="1" applyProtection="1">
      <protection locked="0"/>
    </xf>
    <xf numFmtId="172" fontId="5" fillId="3" borderId="57" xfId="14" applyNumberFormat="1" applyFont="1" applyFill="1" applyBorder="1" applyAlignment="1">
      <alignment horizontal="center"/>
    </xf>
    <xf numFmtId="40" fontId="5" fillId="3" borderId="82" xfId="14" applyNumberFormat="1" applyFont="1" applyFill="1" applyBorder="1"/>
    <xf numFmtId="10" fontId="5" fillId="3" borderId="31" xfId="17" applyNumberFormat="1" applyFont="1" applyFill="1" applyBorder="1" applyProtection="1"/>
    <xf numFmtId="0" fontId="5" fillId="3" borderId="29" xfId="14" applyFont="1" applyFill="1" applyBorder="1"/>
    <xf numFmtId="172" fontId="5" fillId="3" borderId="54" xfId="14" applyNumberFormat="1" applyFont="1" applyFill="1" applyBorder="1" applyAlignment="1">
      <alignment horizontal="center"/>
    </xf>
    <xf numFmtId="40" fontId="6" fillId="0" borderId="0" xfId="14" applyNumberFormat="1" applyProtection="1">
      <protection locked="0"/>
    </xf>
    <xf numFmtId="1" fontId="5" fillId="3" borderId="36" xfId="14" applyNumberFormat="1" applyFont="1" applyFill="1" applyBorder="1"/>
    <xf numFmtId="1" fontId="5" fillId="3" borderId="29" xfId="14" applyNumberFormat="1" applyFont="1" applyFill="1" applyBorder="1"/>
    <xf numFmtId="0" fontId="5" fillId="3" borderId="56" xfId="14" applyFont="1" applyFill="1" applyBorder="1" applyAlignment="1">
      <alignment horizontal="center"/>
    </xf>
    <xf numFmtId="0" fontId="5" fillId="3" borderId="54" xfId="14" applyFont="1" applyFill="1" applyBorder="1"/>
    <xf numFmtId="40" fontId="5" fillId="3" borderId="54" xfId="14" applyNumberFormat="1" applyFont="1" applyFill="1" applyBorder="1"/>
    <xf numFmtId="40" fontId="5" fillId="3" borderId="54" xfId="14" applyNumberFormat="1" applyFont="1" applyFill="1" applyBorder="1" applyProtection="1">
      <protection locked="0"/>
    </xf>
    <xf numFmtId="9" fontId="5" fillId="3" borderId="47" xfId="17" applyFont="1" applyFill="1" applyBorder="1" applyProtection="1"/>
    <xf numFmtId="40" fontId="5" fillId="3" borderId="29" xfId="14" applyNumberFormat="1" applyFont="1" applyFill="1" applyBorder="1"/>
    <xf numFmtId="40" fontId="5" fillId="3" borderId="123" xfId="14" applyNumberFormat="1" applyFont="1" applyFill="1" applyBorder="1" applyProtection="1">
      <protection locked="0"/>
    </xf>
    <xf numFmtId="40" fontId="5" fillId="3" borderId="124" xfId="14" applyNumberFormat="1" applyFont="1" applyFill="1" applyBorder="1"/>
    <xf numFmtId="40" fontId="5" fillId="3" borderId="110" xfId="14" applyNumberFormat="1" applyFont="1" applyFill="1" applyBorder="1"/>
    <xf numFmtId="10" fontId="5" fillId="3" borderId="42" xfId="17" applyNumberFormat="1" applyFont="1" applyFill="1" applyBorder="1" applyProtection="1"/>
    <xf numFmtId="0" fontId="5" fillId="3" borderId="1" xfId="14" applyFont="1" applyFill="1" applyBorder="1"/>
    <xf numFmtId="40" fontId="5" fillId="3" borderId="57" xfId="14" applyNumberFormat="1" applyFont="1" applyFill="1" applyBorder="1"/>
    <xf numFmtId="0" fontId="5" fillId="3" borderId="56" xfId="14" applyFont="1" applyFill="1" applyBorder="1"/>
    <xf numFmtId="40" fontId="5" fillId="3" borderId="9" xfId="14" applyNumberFormat="1" applyFont="1" applyFill="1" applyBorder="1"/>
    <xf numFmtId="9" fontId="5" fillId="3" borderId="48" xfId="17" applyFont="1" applyFill="1" applyBorder="1" applyProtection="1"/>
    <xf numFmtId="0" fontId="7" fillId="3" borderId="100" xfId="14" applyFont="1" applyFill="1" applyBorder="1" applyAlignment="1">
      <alignment horizontal="centerContinuous"/>
    </xf>
    <xf numFmtId="0" fontId="6" fillId="3" borderId="125" xfId="14" applyFill="1" applyBorder="1" applyAlignment="1">
      <alignment horizontal="centerContinuous"/>
    </xf>
    <xf numFmtId="0" fontId="6" fillId="3" borderId="125" xfId="14" applyFill="1" applyBorder="1"/>
    <xf numFmtId="40" fontId="21" fillId="3" borderId="125" xfId="14" applyNumberFormat="1" applyFont="1" applyFill="1" applyBorder="1"/>
    <xf numFmtId="40" fontId="21" fillId="3" borderId="1" xfId="14" applyNumberFormat="1" applyFont="1" applyFill="1" applyBorder="1"/>
    <xf numFmtId="40" fontId="21" fillId="3" borderId="126" xfId="14" applyNumberFormat="1" applyFont="1" applyFill="1" applyBorder="1" applyProtection="1">
      <protection locked="0"/>
    </xf>
    <xf numFmtId="40" fontId="21" fillId="3" borderId="0" xfId="14" applyNumberFormat="1" applyFont="1" applyFill="1"/>
    <xf numFmtId="40" fontId="21" fillId="3" borderId="127" xfId="14" applyNumberFormat="1" applyFont="1" applyFill="1" applyBorder="1"/>
    <xf numFmtId="10" fontId="21" fillId="3" borderId="128" xfId="17" applyNumberFormat="1" applyFont="1" applyFill="1" applyBorder="1" applyProtection="1"/>
    <xf numFmtId="0" fontId="7" fillId="3" borderId="129" xfId="14" applyFont="1" applyFill="1" applyBorder="1" applyAlignment="1">
      <alignment horizontal="centerContinuous"/>
    </xf>
    <xf numFmtId="0" fontId="6" fillId="3" borderId="130" xfId="14" applyFill="1" applyBorder="1" applyAlignment="1">
      <alignment horizontal="centerContinuous"/>
    </xf>
    <xf numFmtId="0" fontId="6" fillId="3" borderId="130" xfId="14" applyFill="1" applyBorder="1"/>
    <xf numFmtId="10" fontId="21" fillId="3" borderId="130" xfId="17" applyNumberFormat="1" applyFont="1" applyFill="1" applyBorder="1" applyProtection="1"/>
    <xf numFmtId="10" fontId="21" fillId="3" borderId="131" xfId="17" applyNumberFormat="1" applyFont="1" applyFill="1" applyBorder="1" applyProtection="1">
      <protection locked="0"/>
    </xf>
    <xf numFmtId="10" fontId="21" fillId="3" borderId="132" xfId="17" applyNumberFormat="1" applyFont="1" applyFill="1" applyBorder="1" applyProtection="1"/>
    <xf numFmtId="10" fontId="21" fillId="3" borderId="133" xfId="17" applyNumberFormat="1" applyFont="1" applyFill="1" applyBorder="1" applyProtection="1"/>
    <xf numFmtId="0" fontId="7" fillId="3" borderId="134" xfId="14" applyFont="1" applyFill="1" applyBorder="1" applyAlignment="1">
      <alignment horizontal="centerContinuous"/>
    </xf>
    <xf numFmtId="0" fontId="6" fillId="3" borderId="119" xfId="14" applyFill="1" applyBorder="1" applyAlignment="1">
      <alignment horizontal="centerContinuous"/>
    </xf>
    <xf numFmtId="0" fontId="6" fillId="3" borderId="119" xfId="14" applyFill="1" applyBorder="1"/>
    <xf numFmtId="10" fontId="21" fillId="3" borderId="119" xfId="17" applyNumberFormat="1" applyFont="1" applyFill="1" applyBorder="1" applyProtection="1"/>
    <xf numFmtId="10" fontId="21" fillId="3" borderId="135" xfId="17" applyNumberFormat="1" applyFont="1" applyFill="1" applyBorder="1" applyProtection="1">
      <protection locked="0"/>
    </xf>
    <xf numFmtId="10" fontId="21" fillId="3" borderId="0" xfId="17" applyNumberFormat="1" applyFont="1" applyFill="1" applyBorder="1" applyProtection="1"/>
    <xf numFmtId="40" fontId="26" fillId="10" borderId="136" xfId="14" applyNumberFormat="1" applyFont="1" applyFill="1" applyBorder="1" applyAlignment="1">
      <alignment horizontal="center"/>
    </xf>
    <xf numFmtId="10" fontId="26" fillId="10" borderId="137" xfId="17" applyNumberFormat="1" applyFont="1" applyFill="1" applyBorder="1" applyAlignment="1" applyProtection="1">
      <alignment horizontal="center"/>
    </xf>
    <xf numFmtId="0" fontId="7" fillId="10" borderId="12" xfId="14" applyFont="1" applyFill="1" applyBorder="1" applyAlignment="1" applyProtection="1">
      <alignment horizontal="left" vertical="top"/>
      <protection locked="0"/>
    </xf>
    <xf numFmtId="0" fontId="7" fillId="10" borderId="10" xfId="14" applyFont="1" applyFill="1" applyBorder="1" applyProtection="1">
      <protection locked="0"/>
    </xf>
    <xf numFmtId="0" fontId="7" fillId="10" borderId="138" xfId="14" applyFont="1" applyFill="1" applyBorder="1" applyProtection="1">
      <protection locked="0"/>
    </xf>
    <xf numFmtId="0" fontId="7" fillId="10" borderId="10" xfId="14" applyFont="1" applyFill="1" applyBorder="1" applyAlignment="1" applyProtection="1">
      <alignment horizontal="left" vertical="top"/>
      <protection locked="0"/>
    </xf>
    <xf numFmtId="0" fontId="7" fillId="10" borderId="10" xfId="14" applyFont="1" applyFill="1" applyBorder="1" applyAlignment="1" applyProtection="1">
      <alignment horizontal="centerContinuous" vertical="center"/>
      <protection locked="0"/>
    </xf>
    <xf numFmtId="0" fontId="7" fillId="10" borderId="13" xfId="14" applyFont="1" applyFill="1" applyBorder="1" applyAlignment="1" applyProtection="1">
      <alignment horizontal="centerContinuous" vertical="center"/>
      <protection locked="0"/>
    </xf>
    <xf numFmtId="0" fontId="7" fillId="3" borderId="12" xfId="14" applyFont="1" applyFill="1" applyBorder="1" applyAlignment="1">
      <alignment horizontal="left" vertical="top"/>
    </xf>
    <xf numFmtId="0" fontId="7" fillId="3" borderId="10" xfId="14" applyFont="1" applyFill="1" applyBorder="1"/>
    <xf numFmtId="0" fontId="7" fillId="0" borderId="138" xfId="14" applyFont="1" applyBorder="1"/>
    <xf numFmtId="0" fontId="7" fillId="3" borderId="10" xfId="14" applyFont="1" applyFill="1" applyBorder="1" applyAlignment="1">
      <alignment horizontal="left"/>
    </xf>
    <xf numFmtId="0" fontId="7" fillId="3" borderId="10" xfId="14" applyFont="1" applyFill="1" applyBorder="1" applyAlignment="1">
      <alignment horizontal="centerContinuous" vertical="center"/>
    </xf>
    <xf numFmtId="0" fontId="7" fillId="3" borderId="13" xfId="14" applyFont="1" applyFill="1" applyBorder="1"/>
    <xf numFmtId="0" fontId="6" fillId="10" borderId="10" xfId="14" applyFill="1" applyBorder="1" applyProtection="1">
      <protection locked="0"/>
    </xf>
    <xf numFmtId="0" fontId="6" fillId="10" borderId="13" xfId="14" applyFill="1" applyBorder="1" applyProtection="1">
      <protection locked="0"/>
    </xf>
    <xf numFmtId="0" fontId="6" fillId="10" borderId="16" xfId="14" applyFill="1" applyBorder="1" applyAlignment="1" applyProtection="1">
      <alignment horizontal="centerContinuous" vertical="center" wrapText="1"/>
      <protection locked="0"/>
    </xf>
    <xf numFmtId="0" fontId="6" fillId="10" borderId="11" xfId="14" applyFill="1" applyBorder="1" applyProtection="1">
      <protection locked="0"/>
    </xf>
    <xf numFmtId="0" fontId="6" fillId="10" borderId="139" xfId="14" applyFill="1" applyBorder="1" applyProtection="1">
      <protection locked="0"/>
    </xf>
    <xf numFmtId="0" fontId="6" fillId="10" borderId="11" xfId="14" applyFill="1" applyBorder="1" applyAlignment="1" applyProtection="1">
      <alignment horizontal="centerContinuous" vertical="center" wrapText="1"/>
      <protection locked="0"/>
    </xf>
    <xf numFmtId="0" fontId="6" fillId="10" borderId="11" xfId="14" applyFill="1" applyBorder="1" applyAlignment="1" applyProtection="1">
      <alignment horizontal="left" vertical="center"/>
      <protection locked="0"/>
    </xf>
    <xf numFmtId="0" fontId="6" fillId="10" borderId="17" xfId="14" applyFill="1" applyBorder="1" applyAlignment="1" applyProtection="1">
      <alignment horizontal="centerContinuous" vertical="center"/>
      <protection locked="0"/>
    </xf>
    <xf numFmtId="0" fontId="6" fillId="3" borderId="16" xfId="14" applyFill="1" applyBorder="1" applyAlignment="1">
      <alignment horizontal="centerContinuous" vertical="center"/>
    </xf>
    <xf numFmtId="14" fontId="6" fillId="3" borderId="11" xfId="14" applyNumberFormat="1" applyFill="1" applyBorder="1" applyAlignment="1">
      <alignment horizontal="center" vertical="center"/>
    </xf>
    <xf numFmtId="0" fontId="6" fillId="3" borderId="11" xfId="14" applyFill="1" applyBorder="1" applyAlignment="1">
      <alignment horizontal="centerContinuous"/>
    </xf>
    <xf numFmtId="0" fontId="6" fillId="0" borderId="139" xfId="14" applyBorder="1"/>
    <xf numFmtId="0" fontId="6" fillId="3" borderId="11" xfId="14" applyFill="1" applyBorder="1" applyAlignment="1">
      <alignment horizontal="centerContinuous" vertical="center" wrapText="1"/>
    </xf>
    <xf numFmtId="0" fontId="6" fillId="3" borderId="11" xfId="14" applyFill="1" applyBorder="1" applyAlignment="1">
      <alignment vertical="center"/>
    </xf>
    <xf numFmtId="17" fontId="6" fillId="3" borderId="17" xfId="14" applyNumberFormat="1" applyFill="1" applyBorder="1" applyAlignment="1">
      <alignment horizontal="center" vertical="center"/>
    </xf>
    <xf numFmtId="17" fontId="6" fillId="10" borderId="11" xfId="14" applyNumberFormat="1" applyFill="1" applyBorder="1" applyAlignment="1" applyProtection="1">
      <alignment horizontal="center" vertical="center"/>
      <protection locked="0"/>
    </xf>
    <xf numFmtId="14" fontId="7" fillId="10" borderId="11" xfId="14" applyNumberFormat="1" applyFont="1" applyFill="1" applyBorder="1" applyAlignment="1" applyProtection="1">
      <alignment horizontal="center" vertical="center"/>
      <protection locked="0"/>
    </xf>
    <xf numFmtId="17" fontId="6" fillId="10" borderId="17" xfId="14" applyNumberFormat="1" applyFill="1" applyBorder="1" applyAlignment="1" applyProtection="1">
      <alignment horizontal="center" vertical="center"/>
      <protection locked="0"/>
    </xf>
    <xf numFmtId="0" fontId="4" fillId="0" borderId="80" xfId="14" applyFont="1" applyBorder="1" applyAlignment="1">
      <alignment horizontal="left"/>
    </xf>
    <xf numFmtId="1" fontId="4" fillId="0" borderId="69" xfId="14" applyNumberFormat="1" applyFont="1" applyBorder="1" applyAlignment="1">
      <alignment horizontal="center"/>
    </xf>
    <xf numFmtId="0" fontId="0" fillId="0" borderId="0" xfId="0" applyProtection="1">
      <protection locked="0"/>
    </xf>
    <xf numFmtId="0" fontId="9" fillId="4" borderId="140" xfId="0" applyFont="1" applyFill="1" applyBorder="1" applyProtection="1">
      <protection locked="0"/>
    </xf>
    <xf numFmtId="0" fontId="9" fillId="4" borderId="141" xfId="0" applyFont="1" applyFill="1" applyBorder="1" applyProtection="1">
      <protection locked="0"/>
    </xf>
    <xf numFmtId="0" fontId="9" fillId="4" borderId="142" xfId="0" applyFont="1" applyFill="1" applyBorder="1" applyProtection="1">
      <protection locked="0"/>
    </xf>
    <xf numFmtId="0" fontId="9" fillId="4" borderId="143" xfId="0" applyFont="1" applyFill="1" applyBorder="1" applyProtection="1">
      <protection locked="0"/>
    </xf>
    <xf numFmtId="0" fontId="9" fillId="4" borderId="11" xfId="0" applyFont="1" applyFill="1" applyBorder="1" applyProtection="1">
      <protection locked="0"/>
    </xf>
    <xf numFmtId="0" fontId="9" fillId="4" borderId="17" xfId="0" applyFont="1" applyFill="1" applyBorder="1" applyProtection="1">
      <protection locked="0"/>
    </xf>
    <xf numFmtId="0" fontId="8" fillId="4" borderId="145" xfId="0" applyFont="1" applyFill="1" applyBorder="1" applyAlignment="1" applyProtection="1">
      <alignment horizontal="left" indent="3"/>
      <protection locked="0"/>
    </xf>
    <xf numFmtId="0" fontId="0" fillId="4" borderId="145" xfId="0" applyFill="1" applyBorder="1" applyProtection="1">
      <protection locked="0"/>
    </xf>
    <xf numFmtId="0" fontId="0" fillId="4" borderId="144" xfId="0" applyFill="1" applyBorder="1" applyProtection="1">
      <protection locked="0"/>
    </xf>
    <xf numFmtId="0" fontId="8" fillId="4" borderId="11" xfId="0" applyFont="1" applyFill="1" applyBorder="1" applyAlignment="1" applyProtection="1">
      <alignment horizontal="left" indent="3"/>
      <protection locked="0"/>
    </xf>
    <xf numFmtId="0" fontId="0" fillId="4" borderId="11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4" fillId="0" borderId="0" xfId="0" applyFont="1" applyProtection="1">
      <protection locked="0"/>
    </xf>
    <xf numFmtId="174" fontId="9" fillId="4" borderId="152" xfId="3" applyNumberFormat="1" applyFont="1" applyFill="1" applyBorder="1" applyAlignment="1" applyProtection="1">
      <alignment horizontal="left"/>
      <protection locked="0"/>
    </xf>
    <xf numFmtId="10" fontId="9" fillId="4" borderId="152" xfId="4" applyNumberFormat="1" applyFont="1" applyFill="1" applyBorder="1" applyAlignment="1" applyProtection="1">
      <alignment horizontal="left"/>
      <protection locked="0"/>
    </xf>
    <xf numFmtId="0" fontId="8" fillId="4" borderId="146" xfId="0" applyFont="1" applyFill="1" applyBorder="1" applyAlignment="1" applyProtection="1">
      <alignment horizontal="left" indent="2"/>
      <protection locked="0"/>
    </xf>
    <xf numFmtId="10" fontId="9" fillId="4" borderId="151" xfId="4" applyNumberFormat="1" applyFont="1" applyFill="1" applyBorder="1" applyAlignment="1" applyProtection="1">
      <alignment horizontal="center"/>
      <protection locked="0"/>
    </xf>
    <xf numFmtId="0" fontId="8" fillId="4" borderId="148" xfId="0" applyFont="1" applyFill="1" applyBorder="1" applyAlignment="1" applyProtection="1">
      <alignment horizontal="left" indent="2"/>
      <protection locked="0"/>
    </xf>
    <xf numFmtId="10" fontId="9" fillId="4" borderId="152" xfId="4" applyNumberFormat="1" applyFont="1" applyFill="1" applyBorder="1" applyAlignment="1" applyProtection="1">
      <alignment horizontal="center"/>
      <protection locked="0"/>
    </xf>
    <xf numFmtId="0" fontId="8" fillId="4" borderId="149" xfId="0" applyFont="1" applyFill="1" applyBorder="1" applyAlignment="1" applyProtection="1">
      <alignment horizontal="left" indent="2"/>
      <protection locked="0"/>
    </xf>
    <xf numFmtId="10" fontId="9" fillId="4" borderId="153" xfId="4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left" indent="1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8" fillId="4" borderId="7" xfId="0" applyFont="1" applyFill="1" applyBorder="1" applyAlignment="1" applyProtection="1">
      <alignment horizontal="left" indent="2"/>
      <protection locked="0"/>
    </xf>
    <xf numFmtId="10" fontId="9" fillId="4" borderId="150" xfId="4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Protection="1">
      <protection locked="0"/>
    </xf>
    <xf numFmtId="0" fontId="0" fillId="0" borderId="14" xfId="0" applyBorder="1" applyProtection="1">
      <protection locked="0"/>
    </xf>
    <xf numFmtId="0" fontId="4" fillId="0" borderId="12" xfId="0" applyFont="1" applyBorder="1" applyProtection="1">
      <protection locked="0"/>
    </xf>
    <xf numFmtId="173" fontId="0" fillId="0" borderId="13" xfId="4" applyNumberFormat="1" applyFont="1" applyFill="1" applyBorder="1" applyProtection="1">
      <protection locked="0"/>
    </xf>
    <xf numFmtId="167" fontId="0" fillId="0" borderId="13" xfId="0" applyNumberFormat="1" applyBorder="1" applyProtection="1">
      <protection locked="0"/>
    </xf>
    <xf numFmtId="0" fontId="4" fillId="0" borderId="14" xfId="0" applyFont="1" applyBorder="1" applyAlignment="1" applyProtection="1">
      <alignment horizontal="right" indent="1"/>
      <protection locked="0"/>
    </xf>
    <xf numFmtId="173" fontId="0" fillId="0" borderId="15" xfId="4" applyNumberFormat="1" applyFont="1" applyFill="1" applyBorder="1" applyProtection="1">
      <protection locked="0"/>
    </xf>
    <xf numFmtId="167" fontId="4" fillId="0" borderId="40" xfId="3" applyNumberFormat="1" applyFont="1" applyFill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right"/>
      <protection locked="0"/>
    </xf>
    <xf numFmtId="173" fontId="0" fillId="0" borderId="17" xfId="4" applyNumberFormat="1" applyFont="1" applyFill="1" applyBorder="1" applyProtection="1">
      <protection locked="0"/>
    </xf>
    <xf numFmtId="167" fontId="4" fillId="0" borderId="17" xfId="0" applyNumberFormat="1" applyFont="1" applyBorder="1" applyAlignment="1" applyProtection="1">
      <alignment horizontal="center"/>
      <protection locked="0"/>
    </xf>
    <xf numFmtId="0" fontId="4" fillId="0" borderId="61" xfId="0" applyFont="1" applyBorder="1" applyAlignment="1" applyProtection="1">
      <alignment horizontal="right"/>
      <protection locked="0"/>
    </xf>
    <xf numFmtId="173" fontId="0" fillId="0" borderId="45" xfId="4" applyNumberFormat="1" applyFont="1" applyFill="1" applyBorder="1" applyProtection="1">
      <protection locked="0"/>
    </xf>
    <xf numFmtId="167" fontId="4" fillId="0" borderId="45" xfId="3" applyNumberFormat="1" applyFont="1" applyFill="1" applyBorder="1" applyAlignment="1" applyProtection="1">
      <alignment horizontal="center"/>
      <protection locked="0"/>
    </xf>
    <xf numFmtId="0" fontId="4" fillId="0" borderId="56" xfId="0" applyFont="1" applyBorder="1" applyAlignment="1" applyProtection="1">
      <alignment horizontal="right"/>
      <protection locked="0"/>
    </xf>
    <xf numFmtId="173" fontId="0" fillId="0" borderId="47" xfId="4" applyNumberFormat="1" applyFont="1" applyFill="1" applyBorder="1" applyProtection="1">
      <protection locked="0"/>
    </xf>
    <xf numFmtId="167" fontId="4" fillId="0" borderId="47" xfId="3" applyNumberFormat="1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16" xfId="0" applyBorder="1" applyProtection="1">
      <protection locked="0"/>
    </xf>
    <xf numFmtId="0" fontId="4" fillId="0" borderId="49" xfId="0" applyFont="1" applyBorder="1" applyAlignment="1" applyProtection="1">
      <alignment horizontal="right"/>
      <protection locked="0"/>
    </xf>
    <xf numFmtId="173" fontId="4" fillId="0" borderId="62" xfId="4" applyNumberFormat="1" applyFont="1" applyFill="1" applyBorder="1" applyProtection="1">
      <protection locked="0"/>
    </xf>
    <xf numFmtId="167" fontId="4" fillId="0" borderId="62" xfId="3" applyNumberFormat="1" applyFont="1" applyFill="1" applyBorder="1" applyAlignment="1" applyProtection="1">
      <alignment horizontal="center"/>
      <protection locked="0"/>
    </xf>
    <xf numFmtId="0" fontId="4" fillId="0" borderId="64" xfId="0" applyFont="1" applyBorder="1" applyAlignment="1" applyProtection="1">
      <alignment horizontal="right"/>
      <protection locked="0"/>
    </xf>
    <xf numFmtId="0" fontId="8" fillId="0" borderId="65" xfId="0" applyFont="1" applyBorder="1" applyAlignment="1" applyProtection="1">
      <alignment horizontal="center"/>
      <protection locked="0"/>
    </xf>
    <xf numFmtId="0" fontId="8" fillId="0" borderId="12" xfId="0" applyFont="1" applyBorder="1"/>
    <xf numFmtId="0" fontId="8" fillId="0" borderId="14" xfId="0" applyFont="1" applyBorder="1"/>
    <xf numFmtId="0" fontId="8" fillId="0" borderId="16" xfId="0" applyFont="1" applyBorder="1"/>
    <xf numFmtId="0" fontId="9" fillId="4" borderId="11" xfId="0" applyFont="1" applyFill="1" applyBorder="1"/>
    <xf numFmtId="0" fontId="9" fillId="4" borderId="17" xfId="0" applyFont="1" applyFill="1" applyBorder="1"/>
    <xf numFmtId="0" fontId="12" fillId="0" borderId="12" xfId="0" applyFont="1" applyBorder="1" applyAlignment="1">
      <alignment horizontal="right"/>
    </xf>
    <xf numFmtId="0" fontId="8" fillId="0" borderId="55" xfId="0" applyFont="1" applyBorder="1" applyAlignment="1">
      <alignment horizontal="right"/>
    </xf>
    <xf numFmtId="0" fontId="0" fillId="0" borderId="16" xfId="0" applyBorder="1"/>
    <xf numFmtId="0" fontId="8" fillId="0" borderId="50" xfId="0" applyFont="1" applyBorder="1" applyAlignment="1">
      <alignment horizontal="right"/>
    </xf>
    <xf numFmtId="0" fontId="4" fillId="0" borderId="0" xfId="0" applyFont="1"/>
    <xf numFmtId="0" fontId="12" fillId="0" borderId="12" xfId="0" applyFont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10" xfId="0" applyBorder="1"/>
    <xf numFmtId="0" fontId="12" fillId="0" borderId="158" xfId="0" applyFont="1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8" fillId="0" borderId="159" xfId="0" applyFont="1" applyBorder="1" applyAlignment="1">
      <alignment horizontal="left" indent="5"/>
    </xf>
    <xf numFmtId="0" fontId="0" fillId="0" borderId="147" xfId="0" applyBorder="1" applyAlignment="1">
      <alignment horizontal="left"/>
    </xf>
    <xf numFmtId="0" fontId="0" fillId="0" borderId="154" xfId="0" applyBorder="1"/>
    <xf numFmtId="0" fontId="0" fillId="0" borderId="15" xfId="0" applyBorder="1"/>
    <xf numFmtId="0" fontId="8" fillId="0" borderId="14" xfId="0" applyFont="1" applyBorder="1" applyAlignment="1">
      <alignment horizontal="left" indent="5"/>
    </xf>
    <xf numFmtId="0" fontId="0" fillId="0" borderId="0" xfId="0" applyAlignment="1">
      <alignment horizontal="left"/>
    </xf>
    <xf numFmtId="0" fontId="12" fillId="0" borderId="108" xfId="0" applyFont="1" applyBorder="1" applyAlignment="1">
      <alignment horizontal="centerContinuous"/>
    </xf>
    <xf numFmtId="0" fontId="0" fillId="0" borderId="45" xfId="0" applyBorder="1" applyAlignment="1">
      <alignment horizontal="centerContinuous"/>
    </xf>
    <xf numFmtId="0" fontId="8" fillId="0" borderId="157" xfId="0" applyFont="1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38" xfId="0" applyBorder="1" applyAlignment="1">
      <alignment horizontal="centerContinuous"/>
    </xf>
    <xf numFmtId="0" fontId="9" fillId="0" borderId="96" xfId="0" applyFont="1" applyBorder="1" applyAlignment="1">
      <alignment horizontal="center"/>
    </xf>
    <xf numFmtId="0" fontId="9" fillId="0" borderId="37" xfId="0" applyFont="1" applyBorder="1" applyAlignment="1">
      <alignment horizontal="centerContinuous"/>
    </xf>
    <xf numFmtId="0" fontId="9" fillId="0" borderId="56" xfId="0" applyFont="1" applyBorder="1" applyAlignment="1">
      <alignment horizontal="center"/>
    </xf>
    <xf numFmtId="0" fontId="9" fillId="0" borderId="7" xfId="0" applyFont="1" applyBorder="1" applyAlignment="1">
      <alignment horizontal="centerContinuous"/>
    </xf>
    <xf numFmtId="0" fontId="9" fillId="0" borderId="39" xfId="0" applyFont="1" applyBorder="1" applyAlignment="1">
      <alignment horizontal="centerContinuous"/>
    </xf>
    <xf numFmtId="0" fontId="0" fillId="0" borderId="108" xfId="0" applyBorder="1"/>
    <xf numFmtId="0" fontId="9" fillId="0" borderId="99" xfId="0" applyFont="1" applyBorder="1" applyAlignment="1">
      <alignment horizontal="centerContinuous"/>
    </xf>
    <xf numFmtId="0" fontId="8" fillId="0" borderId="160" xfId="0" applyFont="1" applyBorder="1"/>
    <xf numFmtId="0" fontId="0" fillId="0" borderId="36" xfId="0" applyBorder="1"/>
    <xf numFmtId="0" fontId="0" fillId="0" borderId="37" xfId="0" applyBorder="1"/>
    <xf numFmtId="0" fontId="8" fillId="0" borderId="156" xfId="0" applyFont="1" applyBorder="1"/>
    <xf numFmtId="0" fontId="8" fillId="0" borderId="1" xfId="0" applyFont="1" applyBorder="1" applyAlignment="1">
      <alignment horizontal="left" indent="2"/>
    </xf>
    <xf numFmtId="10" fontId="9" fillId="0" borderId="99" xfId="4" applyNumberFormat="1" applyFont="1" applyFill="1" applyBorder="1" applyAlignment="1" applyProtection="1">
      <alignment horizontal="center"/>
    </xf>
    <xf numFmtId="0" fontId="8" fillId="0" borderId="161" xfId="0" applyFont="1" applyBorder="1"/>
    <xf numFmtId="0" fontId="0" fillId="0" borderId="29" xfId="0" applyBorder="1"/>
    <xf numFmtId="0" fontId="0" fillId="0" borderId="42" xfId="0" applyBorder="1"/>
    <xf numFmtId="0" fontId="8" fillId="0" borderId="30" xfId="0" applyFont="1" applyBorder="1"/>
    <xf numFmtId="0" fontId="8" fillId="0" borderId="6" xfId="0" applyFont="1" applyBorder="1" applyAlignment="1">
      <alignment horizontal="left" indent="2"/>
    </xf>
    <xf numFmtId="10" fontId="9" fillId="0" borderId="31" xfId="4" applyNumberFormat="1" applyFont="1" applyFill="1" applyBorder="1" applyAlignment="1" applyProtection="1">
      <alignment horizontal="center"/>
    </xf>
    <xf numFmtId="0" fontId="8" fillId="0" borderId="108" xfId="0" applyFont="1" applyBorder="1" applyAlignment="1">
      <alignment horizontal="left" indent="2"/>
    </xf>
    <xf numFmtId="0" fontId="9" fillId="0" borderId="157" xfId="0" applyFont="1" applyBorder="1"/>
    <xf numFmtId="10" fontId="8" fillId="0" borderId="6" xfId="4" applyNumberFormat="1" applyFont="1" applyFill="1" applyBorder="1" applyAlignment="1" applyProtection="1">
      <alignment horizontal="center"/>
    </xf>
    <xf numFmtId="10" fontId="8" fillId="0" borderId="31" xfId="4" applyNumberFormat="1" applyFont="1" applyFill="1" applyBorder="1" applyAlignment="1" applyProtection="1">
      <alignment horizontal="center"/>
    </xf>
    <xf numFmtId="0" fontId="9" fillId="0" borderId="16" xfId="0" applyFont="1" applyBorder="1"/>
    <xf numFmtId="0" fontId="8" fillId="0" borderId="24" xfId="0" applyFont="1" applyBorder="1" applyAlignment="1">
      <alignment horizontal="left" indent="2"/>
    </xf>
    <xf numFmtId="0" fontId="8" fillId="0" borderId="24" xfId="0" applyFont="1" applyBorder="1" applyAlignment="1">
      <alignment horizontal="center"/>
    </xf>
    <xf numFmtId="0" fontId="0" fillId="0" borderId="11" xfId="0" applyBorder="1"/>
    <xf numFmtId="0" fontId="0" fillId="0" borderId="96" xfId="0" applyBorder="1"/>
    <xf numFmtId="0" fontId="0" fillId="0" borderId="9" xfId="0" applyBorder="1"/>
    <xf numFmtId="0" fontId="0" fillId="0" borderId="38" xfId="0" applyBorder="1"/>
    <xf numFmtId="0" fontId="0" fillId="0" borderId="155" xfId="0" applyBorder="1"/>
    <xf numFmtId="0" fontId="0" fillId="0" borderId="14" xfId="0" applyBorder="1"/>
    <xf numFmtId="0" fontId="8" fillId="0" borderId="154" xfId="0" applyFont="1" applyBorder="1" applyAlignment="1">
      <alignment horizontal="left"/>
    </xf>
    <xf numFmtId="0" fontId="12" fillId="0" borderId="61" xfId="0" applyFont="1" applyBorder="1" applyAlignment="1">
      <alignment horizontal="centerContinuous"/>
    </xf>
    <xf numFmtId="0" fontId="8" fillId="0" borderId="157" xfId="0" applyFont="1" applyBorder="1" applyAlignment="1">
      <alignment horizontal="center"/>
    </xf>
    <xf numFmtId="0" fontId="8" fillId="0" borderId="37" xfId="0" applyFont="1" applyBorder="1" applyAlignment="1">
      <alignment horizontal="centerContinuous"/>
    </xf>
    <xf numFmtId="0" fontId="4" fillId="0" borderId="61" xfId="0" applyFont="1" applyBorder="1"/>
    <xf numFmtId="0" fontId="8" fillId="0" borderId="99" xfId="0" applyFont="1" applyBorder="1" applyAlignment="1">
      <alignment horizontal="centerContinuous"/>
    </xf>
    <xf numFmtId="0" fontId="0" fillId="0" borderId="35" xfId="0" applyBorder="1"/>
    <xf numFmtId="0" fontId="8" fillId="0" borderId="162" xfId="0" applyFont="1" applyBorder="1" applyAlignment="1">
      <alignment horizontal="left" indent="2"/>
    </xf>
    <xf numFmtId="167" fontId="8" fillId="0" borderId="99" xfId="4" applyNumberFormat="1" applyFont="1" applyFill="1" applyBorder="1" applyAlignment="1" applyProtection="1">
      <alignment horizontal="center"/>
    </xf>
    <xf numFmtId="0" fontId="0" fillId="0" borderId="32" xfId="0" applyBorder="1"/>
    <xf numFmtId="0" fontId="8" fillId="0" borderId="7" xfId="0" applyFont="1" applyBorder="1" applyAlignment="1">
      <alignment horizontal="left"/>
    </xf>
    <xf numFmtId="0" fontId="0" fillId="0" borderId="39" xfId="0" applyBorder="1"/>
    <xf numFmtId="0" fontId="8" fillId="0" borderId="56" xfId="0" applyFont="1" applyBorder="1" applyAlignment="1">
      <alignment horizontal="left" indent="2"/>
    </xf>
    <xf numFmtId="167" fontId="8" fillId="0" borderId="31" xfId="4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73" fontId="8" fillId="0" borderId="0" xfId="4" applyNumberFormat="1" applyFont="1" applyFill="1" applyBorder="1" applyAlignment="1" applyProtection="1">
      <alignment horizontal="center"/>
    </xf>
    <xf numFmtId="0" fontId="8" fillId="0" borderId="61" xfId="0" applyFont="1" applyBorder="1" applyAlignment="1">
      <alignment horizontal="left" indent="2"/>
    </xf>
    <xf numFmtId="0" fontId="9" fillId="0" borderId="0" xfId="0" applyFont="1"/>
    <xf numFmtId="0" fontId="8" fillId="0" borderId="30" xfId="0" applyFont="1" applyBorder="1" applyAlignment="1">
      <alignment horizontal="left" indent="2"/>
    </xf>
    <xf numFmtId="0" fontId="8" fillId="0" borderId="25" xfId="0" applyFont="1" applyBorder="1" applyAlignment="1">
      <alignment horizontal="left" indent="2"/>
    </xf>
    <xf numFmtId="0" fontId="8" fillId="0" borderId="67" xfId="0" applyFont="1" applyBorder="1" applyAlignment="1">
      <alignment horizontal="center"/>
    </xf>
    <xf numFmtId="0" fontId="28" fillId="0" borderId="0" xfId="0" applyFont="1"/>
    <xf numFmtId="0" fontId="27" fillId="2" borderId="0" xfId="0" applyFont="1" applyFill="1"/>
    <xf numFmtId="164" fontId="0" fillId="0" borderId="0" xfId="3" applyFont="1"/>
    <xf numFmtId="164" fontId="0" fillId="0" borderId="6" xfId="3" applyFont="1" applyBorder="1"/>
    <xf numFmtId="0" fontId="29" fillId="0" borderId="0" xfId="0" applyFont="1"/>
    <xf numFmtId="43" fontId="0" fillId="0" borderId="0" xfId="0" applyNumberFormat="1"/>
    <xf numFmtId="17" fontId="6" fillId="0" borderId="0" xfId="14" applyNumberFormat="1" applyProtection="1">
      <protection locked="0"/>
    </xf>
    <xf numFmtId="0" fontId="6" fillId="0" borderId="0" xfId="14" applyAlignment="1" applyProtection="1">
      <alignment horizontal="center"/>
      <protection locked="0"/>
    </xf>
    <xf numFmtId="164" fontId="6" fillId="0" borderId="0" xfId="3" applyFont="1" applyProtection="1">
      <protection locked="0"/>
    </xf>
    <xf numFmtId="0" fontId="5" fillId="0" borderId="0" xfId="5"/>
    <xf numFmtId="0" fontId="5" fillId="0" borderId="0" xfId="5" applyAlignment="1">
      <alignment horizontal="center"/>
    </xf>
    <xf numFmtId="173" fontId="0" fillId="0" borderId="0" xfId="6" applyNumberFormat="1" applyFont="1" applyFill="1"/>
    <xf numFmtId="0" fontId="30" fillId="0" borderId="0" xfId="19"/>
    <xf numFmtId="2" fontId="8" fillId="0" borderId="8" xfId="1" applyNumberFormat="1" applyFont="1" applyBorder="1" applyAlignment="1">
      <alignment horizontal="center"/>
    </xf>
    <xf numFmtId="0" fontId="5" fillId="0" borderId="6" xfId="5" applyBorder="1" applyAlignment="1">
      <alignment wrapText="1"/>
    </xf>
    <xf numFmtId="0" fontId="5" fillId="0" borderId="6" xfId="5" applyBorder="1"/>
    <xf numFmtId="0" fontId="5" fillId="0" borderId="6" xfId="5" applyBorder="1" applyAlignment="1">
      <alignment horizontal="center"/>
    </xf>
    <xf numFmtId="0" fontId="5" fillId="0" borderId="39" xfId="5" applyBorder="1" applyAlignment="1">
      <alignment wrapText="1"/>
    </xf>
    <xf numFmtId="0" fontId="0" fillId="0" borderId="0" xfId="0" applyAlignment="1">
      <alignment horizontal="center"/>
    </xf>
    <xf numFmtId="0" fontId="4" fillId="2" borderId="0" xfId="0" applyFont="1" applyFill="1"/>
    <xf numFmtId="0" fontId="4" fillId="5" borderId="0" xfId="0" applyFont="1" applyFill="1"/>
    <xf numFmtId="175" fontId="4" fillId="5" borderId="0" xfId="0" applyNumberFormat="1" applyFont="1" applyFill="1"/>
    <xf numFmtId="0" fontId="4" fillId="7" borderId="0" xfId="0" applyFont="1" applyFill="1"/>
    <xf numFmtId="175" fontId="4" fillId="7" borderId="0" xfId="0" applyNumberFormat="1" applyFont="1" applyFill="1"/>
    <xf numFmtId="0" fontId="4" fillId="0" borderId="93" xfId="0" applyFont="1" applyBorder="1" applyAlignment="1">
      <alignment horizontal="centerContinuous" wrapText="1"/>
    </xf>
    <xf numFmtId="0" fontId="0" fillId="0" borderId="65" xfId="0" applyBorder="1" applyAlignment="1">
      <alignment horizontal="centerContinuous"/>
    </xf>
    <xf numFmtId="0" fontId="4" fillId="2" borderId="93" xfId="0" applyFont="1" applyFill="1" applyBorder="1" applyAlignment="1">
      <alignment horizontal="centerContinuous" wrapText="1"/>
    </xf>
    <xf numFmtId="0" fontId="0" fillId="2" borderId="65" xfId="0" applyFill="1" applyBorder="1" applyAlignment="1">
      <alignment horizontal="centerContinuous"/>
    </xf>
    <xf numFmtId="0" fontId="4" fillId="2" borderId="66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164" fontId="0" fillId="0" borderId="7" xfId="3" applyFont="1" applyBorder="1"/>
    <xf numFmtId="164" fontId="0" fillId="0" borderId="39" xfId="3" applyFont="1" applyBorder="1"/>
    <xf numFmtId="1" fontId="33" fillId="2" borderId="30" xfId="0" applyNumberFormat="1" applyFont="1" applyFill="1" applyBorder="1" applyAlignment="1">
      <alignment shrinkToFit="1"/>
    </xf>
    <xf numFmtId="0" fontId="6" fillId="0" borderId="6" xfId="0" applyFont="1" applyBorder="1" applyAlignment="1">
      <alignment wrapText="1"/>
    </xf>
    <xf numFmtId="4" fontId="33" fillId="2" borderId="6" xfId="0" applyNumberFormat="1" applyFont="1" applyFill="1" applyBorder="1" applyAlignment="1">
      <alignment horizontal="right" vertical="top" shrinkToFit="1"/>
    </xf>
    <xf numFmtId="4" fontId="33" fillId="2" borderId="6" xfId="0" applyNumberFormat="1" applyFont="1" applyFill="1" applyBorder="1" applyAlignment="1">
      <alignment horizontal="center" vertical="center" shrinkToFit="1"/>
    </xf>
    <xf numFmtId="4" fontId="33" fillId="5" borderId="6" xfId="0" applyNumberFormat="1" applyFont="1" applyFill="1" applyBorder="1" applyAlignment="1">
      <alignment horizontal="center" vertical="center" shrinkToFit="1"/>
    </xf>
    <xf numFmtId="4" fontId="33" fillId="12" borderId="6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4" fontId="33" fillId="0" borderId="6" xfId="0" applyNumberFormat="1" applyFont="1" applyBorder="1" applyAlignment="1">
      <alignment horizontal="center" vertical="center" shrinkToFit="1"/>
    </xf>
    <xf numFmtId="164" fontId="0" fillId="0" borderId="29" xfId="3" applyFont="1" applyFill="1" applyBorder="1"/>
    <xf numFmtId="164" fontId="0" fillId="2" borderId="29" xfId="3" applyFont="1" applyFill="1" applyBorder="1"/>
    <xf numFmtId="164" fontId="0" fillId="0" borderId="6" xfId="3" applyFont="1" applyFill="1" applyBorder="1"/>
    <xf numFmtId="4" fontId="0" fillId="0" borderId="0" xfId="0" applyNumberFormat="1"/>
    <xf numFmtId="10" fontId="0" fillId="0" borderId="0" xfId="6" applyNumberFormat="1" applyFont="1"/>
    <xf numFmtId="4" fontId="33" fillId="13" borderId="6" xfId="0" applyNumberFormat="1" applyFont="1" applyFill="1" applyBorder="1" applyAlignment="1">
      <alignment horizontal="center" vertical="center" shrinkToFit="1"/>
    </xf>
    <xf numFmtId="164" fontId="33" fillId="13" borderId="6" xfId="3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wrapText="1"/>
    </xf>
    <xf numFmtId="4" fontId="33" fillId="14" borderId="6" xfId="0" applyNumberFormat="1" applyFont="1" applyFill="1" applyBorder="1" applyAlignment="1">
      <alignment horizontal="center" vertical="center" shrinkToFit="1"/>
    </xf>
    <xf numFmtId="1" fontId="33" fillId="2" borderId="25" xfId="0" applyNumberFormat="1" applyFont="1" applyFill="1" applyBorder="1" applyAlignment="1">
      <alignment shrinkToFit="1"/>
    </xf>
    <xf numFmtId="0" fontId="6" fillId="0" borderId="24" xfId="0" applyFont="1" applyBorder="1" applyAlignment="1">
      <alignment wrapText="1"/>
    </xf>
    <xf numFmtId="4" fontId="33" fillId="2" borderId="24" xfId="0" applyNumberFormat="1" applyFont="1" applyFill="1" applyBorder="1" applyAlignment="1">
      <alignment horizontal="right" vertical="top" shrinkToFit="1"/>
    </xf>
    <xf numFmtId="4" fontId="33" fillId="13" borderId="24" xfId="0" applyNumberFormat="1" applyFont="1" applyFill="1" applyBorder="1" applyAlignment="1">
      <alignment horizontal="center" vertical="center" shrinkToFit="1"/>
    </xf>
    <xf numFmtId="4" fontId="33" fillId="5" borderId="24" xfId="0" applyNumberFormat="1" applyFont="1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4" fontId="34" fillId="12" borderId="31" xfId="0" applyNumberFormat="1" applyFont="1" applyFill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4" fillId="0" borderId="13" xfId="0" applyFont="1" applyBorder="1" applyAlignment="1">
      <alignment horizontal="centerContinuous" vertical="center"/>
    </xf>
    <xf numFmtId="0" fontId="5" fillId="0" borderId="23" xfId="0" applyFont="1" applyBorder="1" applyAlignment="1">
      <alignment horizontal="center" vertical="center"/>
    </xf>
    <xf numFmtId="2" fontId="5" fillId="0" borderId="44" xfId="1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165" fontId="4" fillId="0" borderId="28" xfId="1" applyNumberFormat="1" applyFont="1" applyBorder="1" applyAlignment="1">
      <alignment horizontal="center" vertical="center"/>
    </xf>
    <xf numFmtId="2" fontId="4" fillId="0" borderId="33" xfId="0" applyNumberFormat="1" applyFont="1" applyBorder="1" applyAlignment="1">
      <alignment horizontal="center" vertical="center"/>
    </xf>
    <xf numFmtId="165" fontId="4" fillId="0" borderId="28" xfId="1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7" xfId="1" applyFont="1" applyBorder="1" applyAlignment="1">
      <alignment vertical="center" wrapText="1"/>
    </xf>
    <xf numFmtId="49" fontId="4" fillId="0" borderId="33" xfId="0" applyNumberFormat="1" applyFont="1" applyBorder="1" applyAlignment="1">
      <alignment horizontal="center" vertical="center"/>
    </xf>
    <xf numFmtId="0" fontId="5" fillId="0" borderId="47" xfId="1" applyFont="1" applyBorder="1" applyAlignment="1">
      <alignment horizontal="left" vertical="center" wrapText="1"/>
    </xf>
    <xf numFmtId="0" fontId="4" fillId="0" borderId="64" xfId="2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62" xfId="1" applyFont="1" applyBorder="1" applyAlignment="1">
      <alignment horizontal="left" vertical="center" wrapText="1"/>
    </xf>
    <xf numFmtId="0" fontId="5" fillId="0" borderId="22" xfId="1" applyFont="1" applyBorder="1" applyAlignment="1">
      <alignment vertical="center" wrapText="1"/>
    </xf>
    <xf numFmtId="0" fontId="4" fillId="0" borderId="64" xfId="0" applyFont="1" applyBorder="1" applyAlignment="1">
      <alignment horizontal="center" vertical="center"/>
    </xf>
    <xf numFmtId="2" fontId="5" fillId="0" borderId="31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vertical="center"/>
    </xf>
    <xf numFmtId="4" fontId="5" fillId="0" borderId="31" xfId="1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6" xfId="0" applyFont="1" applyBorder="1" applyAlignment="1">
      <alignment horizontal="left" vertical="center"/>
    </xf>
    <xf numFmtId="2" fontId="5" fillId="0" borderId="26" xfId="1" applyNumberFormat="1" applyFont="1" applyBorder="1" applyAlignment="1">
      <alignment horizontal="center" vertical="center"/>
    </xf>
    <xf numFmtId="4" fontId="4" fillId="0" borderId="34" xfId="1" applyNumberFormat="1" applyFont="1" applyBorder="1" applyAlignment="1">
      <alignment vertical="center"/>
    </xf>
    <xf numFmtId="4" fontId="4" fillId="0" borderId="27" xfId="1" applyNumberFormat="1" applyFont="1" applyBorder="1" applyAlignment="1">
      <alignment vertical="center"/>
    </xf>
    <xf numFmtId="4" fontId="4" fillId="0" borderId="3" xfId="1" applyNumberFormat="1" applyFont="1" applyBorder="1" applyAlignment="1">
      <alignment vertical="center"/>
    </xf>
    <xf numFmtId="4" fontId="4" fillId="0" borderId="3" xfId="0" applyNumberFormat="1" applyFont="1" applyBorder="1" applyAlignment="1">
      <alignment vertical="center"/>
    </xf>
    <xf numFmtId="4" fontId="4" fillId="0" borderId="34" xfId="0" applyNumberFormat="1" applyFont="1" applyBorder="1" applyAlignment="1">
      <alignment vertical="center"/>
    </xf>
    <xf numFmtId="4" fontId="4" fillId="0" borderId="26" xfId="1" applyNumberFormat="1" applyFont="1" applyBorder="1" applyAlignment="1">
      <alignment vertical="center"/>
    </xf>
    <xf numFmtId="0" fontId="36" fillId="0" borderId="26" xfId="0" applyFont="1" applyBorder="1" applyAlignment="1">
      <alignment horizontal="centerContinuous" vertical="center"/>
    </xf>
    <xf numFmtId="0" fontId="36" fillId="0" borderId="34" xfId="0" applyFont="1" applyBorder="1" applyAlignment="1">
      <alignment horizontal="centerContinuous" vertical="center"/>
    </xf>
    <xf numFmtId="0" fontId="5" fillId="0" borderId="3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4" fontId="5" fillId="0" borderId="29" xfId="0" applyNumberFormat="1" applyFont="1" applyBorder="1" applyAlignment="1" applyProtection="1">
      <alignment vertical="center"/>
      <protection locked="0"/>
    </xf>
    <xf numFmtId="0" fontId="5" fillId="0" borderId="30" xfId="0" quotePrefix="1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49" fontId="4" fillId="0" borderId="51" xfId="0" applyNumberFormat="1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>
      <alignment horizontal="left" vertical="center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49" fontId="4" fillId="0" borderId="56" xfId="0" applyNumberFormat="1" applyFont="1" applyBorder="1" applyAlignment="1">
      <alignment horizontal="left" vertical="center"/>
    </xf>
    <xf numFmtId="0" fontId="4" fillId="0" borderId="59" xfId="0" applyFont="1" applyBorder="1" applyAlignment="1" applyProtection="1">
      <alignment horizontal="left" vertical="center"/>
      <protection locked="0"/>
    </xf>
    <xf numFmtId="49" fontId="4" fillId="0" borderId="60" xfId="0" applyNumberFormat="1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4" fillId="0" borderId="40" xfId="0" applyFont="1" applyBorder="1" applyAlignment="1">
      <alignment horizontal="left" vertical="center"/>
    </xf>
    <xf numFmtId="49" fontId="4" fillId="0" borderId="40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/>
      <protection locked="0"/>
    </xf>
    <xf numFmtId="49" fontId="4" fillId="0" borderId="52" xfId="0" applyNumberFormat="1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Continuous" vertical="center" wrapText="1"/>
    </xf>
    <xf numFmtId="0" fontId="4" fillId="0" borderId="43" xfId="1" applyFont="1" applyBorder="1" applyAlignment="1">
      <alignment horizontal="center" vertical="center"/>
    </xf>
    <xf numFmtId="0" fontId="5" fillId="0" borderId="16" xfId="0" quotePrefix="1" applyFont="1" applyBorder="1" applyAlignment="1">
      <alignment horizontal="left" vertical="center"/>
    </xf>
    <xf numFmtId="0" fontId="5" fillId="0" borderId="17" xfId="1" applyFont="1" applyBorder="1" applyAlignment="1">
      <alignment vertical="center"/>
    </xf>
    <xf numFmtId="49" fontId="4" fillId="0" borderId="16" xfId="0" applyNumberFormat="1" applyFont="1" applyBorder="1" applyAlignment="1">
      <alignment horizontal="center" vertical="center"/>
    </xf>
    <xf numFmtId="4" fontId="5" fillId="0" borderId="30" xfId="0" applyNumberFormat="1" applyFont="1" applyBorder="1" applyAlignment="1" applyProtection="1">
      <alignment vertical="center"/>
      <protection locked="0"/>
    </xf>
    <xf numFmtId="4" fontId="5" fillId="0" borderId="6" xfId="0" applyNumberFormat="1" applyFont="1" applyBorder="1" applyAlignment="1" applyProtection="1">
      <alignment vertical="center"/>
      <protection locked="0"/>
    </xf>
    <xf numFmtId="0" fontId="5" fillId="0" borderId="0" xfId="0" quotePrefix="1" applyFont="1" applyAlignment="1">
      <alignment vertical="center"/>
    </xf>
    <xf numFmtId="49" fontId="4" fillId="0" borderId="2" xfId="0" applyNumberFormat="1" applyFont="1" applyBorder="1" applyAlignment="1">
      <alignment horizontal="center" vertical="center"/>
    </xf>
    <xf numFmtId="4" fontId="5" fillId="0" borderId="26" xfId="1" applyNumberFormat="1" applyFont="1" applyBorder="1" applyAlignment="1">
      <alignment vertical="center"/>
    </xf>
    <xf numFmtId="2" fontId="5" fillId="0" borderId="66" xfId="1" applyNumberFormat="1" applyFont="1" applyBorder="1" applyAlignment="1">
      <alignment horizontal="center" vertical="center"/>
    </xf>
    <xf numFmtId="4" fontId="5" fillId="0" borderId="63" xfId="0" applyNumberFormat="1" applyFont="1" applyBorder="1" applyAlignment="1" applyProtection="1">
      <alignment vertical="center"/>
      <protection locked="0"/>
    </xf>
    <xf numFmtId="4" fontId="5" fillId="0" borderId="64" xfId="0" applyNumberFormat="1" applyFont="1" applyBorder="1" applyAlignment="1" applyProtection="1">
      <alignment vertical="center"/>
      <protection locked="0"/>
    </xf>
    <xf numFmtId="4" fontId="5" fillId="0" borderId="66" xfId="1" applyNumberFormat="1" applyFont="1" applyBorder="1" applyAlignment="1">
      <alignment vertical="center"/>
    </xf>
    <xf numFmtId="0" fontId="5" fillId="0" borderId="62" xfId="1" applyFont="1" applyBorder="1" applyAlignment="1">
      <alignment vertical="center" wrapText="1"/>
    </xf>
    <xf numFmtId="2" fontId="5" fillId="0" borderId="67" xfId="1" applyNumberFormat="1" applyFont="1" applyBorder="1" applyAlignment="1">
      <alignment horizontal="center" vertical="center"/>
    </xf>
    <xf numFmtId="4" fontId="5" fillId="0" borderId="67" xfId="1" applyNumberFormat="1" applyFont="1" applyBorder="1" applyAlignment="1">
      <alignment vertical="center"/>
    </xf>
    <xf numFmtId="4" fontId="5" fillId="0" borderId="68" xfId="0" applyNumberFormat="1" applyFont="1" applyBorder="1" applyAlignment="1" applyProtection="1">
      <alignment vertical="center"/>
      <protection locked="0"/>
    </xf>
    <xf numFmtId="4" fontId="5" fillId="0" borderId="23" xfId="0" applyNumberFormat="1" applyFont="1" applyBorder="1" applyAlignment="1" applyProtection="1">
      <alignment vertical="center"/>
      <protection locked="0"/>
    </xf>
    <xf numFmtId="0" fontId="5" fillId="0" borderId="68" xfId="0" applyFont="1" applyBorder="1" applyAlignment="1">
      <alignment horizontal="center" vertical="center"/>
    </xf>
    <xf numFmtId="0" fontId="4" fillId="0" borderId="34" xfId="1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7" fontId="5" fillId="0" borderId="0" xfId="0" applyNumberFormat="1" applyFont="1" applyAlignment="1">
      <alignment vertical="center"/>
    </xf>
    <xf numFmtId="49" fontId="4" fillId="0" borderId="21" xfId="0" applyNumberFormat="1" applyFont="1" applyBorder="1" applyAlignment="1">
      <alignment horizontal="left" vertical="center"/>
    </xf>
    <xf numFmtId="0" fontId="4" fillId="0" borderId="53" xfId="0" applyFont="1" applyBorder="1" applyAlignment="1" applyProtection="1">
      <alignment horizontal="left" vertical="center"/>
      <protection locked="0"/>
    </xf>
    <xf numFmtId="0" fontId="6" fillId="3" borderId="35" xfId="14" applyFill="1" applyBorder="1" applyAlignment="1">
      <alignment horizontal="center"/>
    </xf>
    <xf numFmtId="0" fontId="6" fillId="3" borderId="96" xfId="14" applyFill="1" applyBorder="1" applyAlignment="1">
      <alignment horizontal="left"/>
    </xf>
    <xf numFmtId="0" fontId="6" fillId="3" borderId="9" xfId="14" applyFill="1" applyBorder="1" applyAlignment="1">
      <alignment horizontal="centerContinuous"/>
    </xf>
    <xf numFmtId="0" fontId="7" fillId="3" borderId="6" xfId="14" applyFont="1" applyFill="1" applyBorder="1" applyAlignment="1">
      <alignment horizontal="center"/>
    </xf>
    <xf numFmtId="0" fontId="6" fillId="3" borderId="7" xfId="14" applyFill="1" applyBorder="1" applyAlignment="1">
      <alignment horizontal="centerContinuous"/>
    </xf>
    <xf numFmtId="0" fontId="6" fillId="3" borderId="54" xfId="14" applyFill="1" applyBorder="1" applyAlignment="1">
      <alignment horizontal="centerContinuous"/>
    </xf>
    <xf numFmtId="0" fontId="6" fillId="3" borderId="39" xfId="14" applyFill="1" applyBorder="1" applyAlignment="1">
      <alignment horizontal="centerContinuous"/>
    </xf>
    <xf numFmtId="0" fontId="6" fillId="3" borderId="41" xfId="14" applyFill="1" applyBorder="1" applyAlignment="1">
      <alignment horizontal="centerContinuous"/>
    </xf>
    <xf numFmtId="0" fontId="6" fillId="3" borderId="97" xfId="14" applyFill="1" applyBorder="1" applyAlignment="1">
      <alignment horizontal="centerContinuous"/>
    </xf>
    <xf numFmtId="0" fontId="6" fillId="3" borderId="9" xfId="14" applyFill="1" applyBorder="1" applyAlignment="1">
      <alignment horizontal="center"/>
    </xf>
    <xf numFmtId="0" fontId="6" fillId="3" borderId="98" xfId="14" applyFill="1" applyBorder="1" applyAlignment="1">
      <alignment horizontal="center"/>
    </xf>
    <xf numFmtId="0" fontId="6" fillId="3" borderId="99" xfId="14" applyFill="1" applyBorder="1" applyAlignment="1">
      <alignment horizontal="center"/>
    </xf>
    <xf numFmtId="0" fontId="6" fillId="3" borderId="101" xfId="14" applyFill="1" applyBorder="1"/>
    <xf numFmtId="0" fontId="6" fillId="3" borderId="102" xfId="14" applyFill="1" applyBorder="1"/>
    <xf numFmtId="0" fontId="6" fillId="3" borderId="103" xfId="14" applyFill="1" applyBorder="1" applyAlignment="1">
      <alignment horizontal="center"/>
    </xf>
    <xf numFmtId="0" fontId="6" fillId="3" borderId="104" xfId="14" applyFill="1" applyBorder="1" applyAlignment="1">
      <alignment horizontal="center"/>
    </xf>
    <xf numFmtId="0" fontId="6" fillId="3" borderId="105" xfId="14" applyFill="1" applyBorder="1" applyAlignment="1">
      <alignment horizontal="center"/>
    </xf>
    <xf numFmtId="0" fontId="6" fillId="3" borderId="106" xfId="14" applyFill="1" applyBorder="1" applyAlignment="1">
      <alignment horizontal="center"/>
    </xf>
    <xf numFmtId="0" fontId="7" fillId="3" borderId="101" xfId="14" applyFont="1" applyFill="1" applyBorder="1" applyAlignment="1">
      <alignment textRotation="180"/>
    </xf>
    <xf numFmtId="171" fontId="6" fillId="3" borderId="103" xfId="14" applyNumberFormat="1" applyFill="1" applyBorder="1" applyAlignment="1">
      <alignment horizontal="center"/>
    </xf>
    <xf numFmtId="171" fontId="6" fillId="3" borderId="104" xfId="14" applyNumberFormat="1" applyFill="1" applyBorder="1" applyAlignment="1">
      <alignment horizontal="center"/>
    </xf>
    <xf numFmtId="171" fontId="6" fillId="3" borderId="102" xfId="14" applyNumberFormat="1" applyFill="1" applyBorder="1" applyAlignment="1">
      <alignment horizontal="center"/>
    </xf>
    <xf numFmtId="49" fontId="5" fillId="3" borderId="107" xfId="14" applyNumberFormat="1" applyFont="1" applyFill="1" applyBorder="1" applyAlignment="1">
      <alignment horizontal="center"/>
    </xf>
    <xf numFmtId="49" fontId="5" fillId="3" borderId="108" xfId="14" applyNumberFormat="1" applyFont="1" applyFill="1" applyBorder="1" applyAlignment="1">
      <alignment horizontal="left"/>
    </xf>
    <xf numFmtId="49" fontId="5" fillId="3" borderId="41" xfId="14" applyNumberFormat="1" applyFont="1" applyFill="1" applyBorder="1" applyAlignment="1">
      <alignment horizontal="left"/>
    </xf>
    <xf numFmtId="0" fontId="35" fillId="3" borderId="6" xfId="14" applyFont="1" applyFill="1" applyBorder="1"/>
    <xf numFmtId="0" fontId="5" fillId="3" borderId="41" xfId="14" applyFont="1" applyFill="1" applyBorder="1" applyAlignment="1">
      <alignment horizontal="center"/>
    </xf>
    <xf numFmtId="0" fontId="5" fillId="3" borderId="109" xfId="14" applyFont="1" applyFill="1" applyBorder="1" applyAlignment="1">
      <alignment horizontal="center"/>
    </xf>
    <xf numFmtId="0" fontId="5" fillId="3" borderId="57" xfId="14" applyFont="1" applyFill="1" applyBorder="1" applyAlignment="1">
      <alignment horizontal="center"/>
    </xf>
    <xf numFmtId="40" fontId="4" fillId="10" borderId="110" xfId="14" applyNumberFormat="1" applyFont="1" applyFill="1" applyBorder="1" applyAlignment="1">
      <alignment horizontal="right"/>
    </xf>
    <xf numFmtId="2" fontId="5" fillId="3" borderId="42" xfId="14" applyNumberFormat="1" applyFont="1" applyFill="1" applyBorder="1"/>
    <xf numFmtId="49" fontId="5" fillId="3" borderId="32" xfId="14" applyNumberFormat="1" applyFont="1" applyFill="1" applyBorder="1" applyAlignment="1">
      <alignment horizontal="center"/>
    </xf>
    <xf numFmtId="0" fontId="6" fillId="3" borderId="57" xfId="14" applyFill="1" applyBorder="1" applyAlignment="1">
      <alignment horizontal="center"/>
    </xf>
    <xf numFmtId="0" fontId="24" fillId="0" borderId="6" xfId="14" applyFont="1" applyBorder="1" applyAlignment="1">
      <alignment horizontal="center"/>
    </xf>
    <xf numFmtId="0" fontId="24" fillId="0" borderId="39" xfId="14" applyFont="1" applyBorder="1" applyAlignment="1">
      <alignment horizontal="center"/>
    </xf>
    <xf numFmtId="0" fontId="25" fillId="0" borderId="6" xfId="14" applyFont="1" applyBorder="1"/>
    <xf numFmtId="49" fontId="24" fillId="0" borderId="41" xfId="14" applyNumberFormat="1" applyFont="1" applyBorder="1" applyAlignment="1">
      <alignment horizontal="left"/>
    </xf>
    <xf numFmtId="49" fontId="24" fillId="0" borderId="41" xfId="14" applyNumberFormat="1" applyFont="1" applyBorder="1" applyAlignment="1">
      <alignment horizontal="center"/>
    </xf>
    <xf numFmtId="1" fontId="24" fillId="0" borderId="6" xfId="14" applyNumberFormat="1" applyFont="1" applyBorder="1" applyAlignment="1">
      <alignment horizontal="center"/>
    </xf>
    <xf numFmtId="0" fontId="24" fillId="0" borderId="41" xfId="14" applyFont="1" applyBorder="1" applyAlignment="1">
      <alignment horizontal="center"/>
    </xf>
    <xf numFmtId="0" fontId="24" fillId="0" borderId="29" xfId="14" applyFont="1" applyBorder="1" applyAlignment="1">
      <alignment horizontal="center"/>
    </xf>
    <xf numFmtId="49" fontId="24" fillId="0" borderId="165" xfId="14" applyNumberFormat="1" applyFont="1" applyBorder="1" applyAlignment="1">
      <alignment horizontal="center"/>
    </xf>
    <xf numFmtId="1" fontId="24" fillId="0" borderId="134" xfId="14" applyNumberFormat="1" applyFont="1" applyBorder="1" applyAlignment="1">
      <alignment horizontal="center"/>
    </xf>
    <xf numFmtId="171" fontId="22" fillId="0" borderId="103" xfId="14" applyNumberFormat="1" applyFont="1" applyBorder="1" applyAlignment="1">
      <alignment horizontal="center"/>
    </xf>
    <xf numFmtId="0" fontId="23" fillId="0" borderId="166" xfId="14" applyFont="1" applyBorder="1" applyAlignment="1">
      <alignment textRotation="180"/>
    </xf>
    <xf numFmtId="0" fontId="22" fillId="0" borderId="166" xfId="14" applyFont="1" applyBorder="1"/>
    <xf numFmtId="1" fontId="23" fillId="0" borderId="167" xfId="14" applyNumberFormat="1" applyFont="1" applyBorder="1" applyAlignment="1">
      <alignment horizontal="center"/>
    </xf>
    <xf numFmtId="0" fontId="23" fillId="0" borderId="168" xfId="14" applyFont="1" applyBorder="1" applyAlignment="1">
      <alignment horizontal="center"/>
    </xf>
    <xf numFmtId="1" fontId="24" fillId="0" borderId="32" xfId="14" applyNumberFormat="1" applyFont="1" applyBorder="1" applyAlignment="1">
      <alignment horizontal="center"/>
    </xf>
    <xf numFmtId="1" fontId="24" fillId="0" borderId="107" xfId="14" applyNumberFormat="1" applyFont="1" applyBorder="1" applyAlignment="1">
      <alignment horizontal="center"/>
    </xf>
    <xf numFmtId="0" fontId="23" fillId="0" borderId="101" xfId="14" applyFont="1" applyBorder="1" applyAlignment="1">
      <alignment textRotation="180"/>
    </xf>
    <xf numFmtId="0" fontId="22" fillId="0" borderId="101" xfId="14" applyFont="1" applyBorder="1"/>
    <xf numFmtId="1" fontId="23" fillId="0" borderId="169" xfId="14" applyNumberFormat="1" applyFont="1" applyBorder="1" applyAlignment="1">
      <alignment horizontal="center"/>
    </xf>
    <xf numFmtId="0" fontId="23" fillId="0" borderId="100" xfId="14" applyFont="1" applyBorder="1" applyAlignment="1">
      <alignment horizontal="center"/>
    </xf>
    <xf numFmtId="0" fontId="9" fillId="0" borderId="0" xfId="1" applyFont="1"/>
    <xf numFmtId="0" fontId="6" fillId="0" borderId="0" xfId="1"/>
    <xf numFmtId="0" fontId="6" fillId="0" borderId="0" xfId="1" applyAlignment="1">
      <alignment horizontal="center"/>
    </xf>
    <xf numFmtId="0" fontId="7" fillId="0" borderId="0" xfId="1" applyFont="1"/>
    <xf numFmtId="167" fontId="9" fillId="0" borderId="6" xfId="1" applyNumberFormat="1" applyFont="1" applyBorder="1" applyAlignment="1">
      <alignment horizontal="center"/>
    </xf>
    <xf numFmtId="1" fontId="9" fillId="0" borderId="6" xfId="1" applyNumberFormat="1" applyFont="1" applyBorder="1" applyAlignment="1">
      <alignment horizontal="center"/>
    </xf>
    <xf numFmtId="2" fontId="8" fillId="0" borderId="6" xfId="1" applyNumberFormat="1" applyFont="1" applyBorder="1" applyAlignment="1">
      <alignment horizontal="center" wrapText="1"/>
    </xf>
    <xf numFmtId="2" fontId="8" fillId="0" borderId="6" xfId="1" applyNumberFormat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27" xfId="1" applyFont="1" applyBorder="1" applyAlignment="1">
      <alignment horizontal="center"/>
    </xf>
    <xf numFmtId="2" fontId="8" fillId="0" borderId="0" xfId="1" applyNumberFormat="1" applyFont="1" applyAlignment="1">
      <alignment horizontal="center" wrapText="1"/>
    </xf>
    <xf numFmtId="0" fontId="8" fillId="0" borderId="0" xfId="5" applyFont="1" applyAlignment="1">
      <alignment horizontal="center"/>
    </xf>
    <xf numFmtId="0" fontId="9" fillId="0" borderId="0" xfId="5" applyFont="1" applyAlignment="1">
      <alignment horizontal="center"/>
    </xf>
    <xf numFmtId="0" fontId="4" fillId="0" borderId="0" xfId="5" applyFont="1" applyAlignment="1">
      <alignment horizontal="center"/>
    </xf>
    <xf numFmtId="0" fontId="4" fillId="0" borderId="0" xfId="5" applyFont="1" applyAlignment="1">
      <alignment horizontal="right"/>
    </xf>
    <xf numFmtId="0" fontId="9" fillId="0" borderId="0" xfId="5" applyFont="1"/>
    <xf numFmtId="2" fontId="9" fillId="2" borderId="0" xfId="5" applyNumberFormat="1" applyFont="1" applyFill="1" applyAlignment="1">
      <alignment horizontal="center"/>
    </xf>
    <xf numFmtId="0" fontId="9" fillId="2" borderId="0" xfId="5" applyFont="1" applyFill="1" applyAlignment="1">
      <alignment horizontal="center"/>
    </xf>
    <xf numFmtId="2" fontId="8" fillId="2" borderId="0" xfId="5" applyNumberFormat="1" applyFont="1" applyFill="1" applyAlignment="1">
      <alignment horizontal="center"/>
    </xf>
    <xf numFmtId="0" fontId="4" fillId="0" borderId="9" xfId="5" applyFont="1" applyBorder="1" applyAlignment="1">
      <alignment horizontal="left"/>
    </xf>
    <xf numFmtId="0" fontId="4" fillId="2" borderId="8" xfId="5" applyFont="1" applyFill="1" applyBorder="1" applyAlignment="1">
      <alignment horizontal="left"/>
    </xf>
    <xf numFmtId="0" fontId="9" fillId="2" borderId="0" xfId="5" applyFont="1" applyFill="1"/>
    <xf numFmtId="166" fontId="8" fillId="2" borderId="0" xfId="5" applyNumberFormat="1" applyFont="1" applyFill="1" applyAlignment="1">
      <alignment horizontal="center"/>
    </xf>
    <xf numFmtId="0" fontId="4" fillId="2" borderId="9" xfId="5" applyFont="1" applyFill="1" applyBorder="1" applyAlignment="1">
      <alignment horizontal="left"/>
    </xf>
    <xf numFmtId="2" fontId="9" fillId="0" borderId="0" xfId="5" applyNumberFormat="1" applyFont="1" applyAlignment="1">
      <alignment horizontal="center"/>
    </xf>
    <xf numFmtId="0" fontId="8" fillId="0" borderId="9" xfId="5" applyFont="1" applyBorder="1" applyAlignment="1">
      <alignment horizontal="left"/>
    </xf>
    <xf numFmtId="0" fontId="8" fillId="0" borderId="8" xfId="5" applyFont="1" applyBorder="1" applyAlignment="1">
      <alignment horizontal="left"/>
    </xf>
    <xf numFmtId="0" fontId="5" fillId="2" borderId="0" xfId="5" applyFill="1"/>
    <xf numFmtId="0" fontId="8" fillId="2" borderId="9" xfId="5" applyFont="1" applyFill="1" applyBorder="1" applyAlignment="1">
      <alignment horizontal="left"/>
    </xf>
    <xf numFmtId="0" fontId="8" fillId="2" borderId="8" xfId="5" applyFont="1" applyFill="1" applyBorder="1" applyAlignment="1">
      <alignment horizontal="left"/>
    </xf>
    <xf numFmtId="2" fontId="9" fillId="0" borderId="27" xfId="5" applyNumberFormat="1" applyFont="1" applyBorder="1" applyAlignment="1">
      <alignment horizontal="center"/>
    </xf>
    <xf numFmtId="0" fontId="9" fillId="6" borderId="0" xfId="5" applyFont="1" applyFill="1"/>
    <xf numFmtId="2" fontId="9" fillId="6" borderId="0" xfId="5" applyNumberFormat="1" applyFont="1" applyFill="1" applyAlignment="1">
      <alignment horizontal="center"/>
    </xf>
    <xf numFmtId="0" fontId="8" fillId="0" borderId="6" xfId="5" applyFont="1" applyBorder="1" applyAlignment="1">
      <alignment horizontal="center" textRotation="180" wrapText="1"/>
    </xf>
    <xf numFmtId="0" fontId="8" fillId="0" borderId="6" xfId="5" applyFont="1" applyBorder="1" applyAlignment="1">
      <alignment horizontal="center" wrapText="1"/>
    </xf>
    <xf numFmtId="0" fontId="8" fillId="0" borderId="6" xfId="5" applyFont="1" applyBorder="1" applyAlignment="1">
      <alignment wrapText="1"/>
    </xf>
    <xf numFmtId="0" fontId="8" fillId="0" borderId="7" xfId="5" applyFont="1" applyBorder="1" applyAlignment="1">
      <alignment horizontal="center"/>
    </xf>
    <xf numFmtId="0" fontId="9" fillId="0" borderId="27" xfId="5" applyFont="1" applyBorder="1" applyAlignment="1">
      <alignment horizontal="center" wrapText="1"/>
    </xf>
    <xf numFmtId="0" fontId="8" fillId="0" borderId="6" xfId="5" applyFont="1" applyBorder="1" applyAlignment="1">
      <alignment horizontal="center"/>
    </xf>
    <xf numFmtId="0" fontId="9" fillId="0" borderId="0" xfId="5" applyFont="1" applyAlignment="1">
      <alignment horizontal="right"/>
    </xf>
    <xf numFmtId="164" fontId="0" fillId="0" borderId="0" xfId="3" quotePrefix="1" applyFont="1"/>
    <xf numFmtId="10" fontId="0" fillId="0" borderId="57" xfId="6" applyNumberFormat="1" applyFont="1" applyBorder="1"/>
    <xf numFmtId="17" fontId="27" fillId="0" borderId="3" xfId="0" applyNumberFormat="1" applyFont="1" applyBorder="1"/>
    <xf numFmtId="17" fontId="27" fillId="0" borderId="26" xfId="0" applyNumberFormat="1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34" xfId="0" applyBorder="1"/>
    <xf numFmtId="10" fontId="0" fillId="0" borderId="0" xfId="0" applyNumberFormat="1" applyAlignment="1">
      <alignment vertical="top"/>
    </xf>
    <xf numFmtId="1" fontId="32" fillId="0" borderId="32" xfId="0" applyNumberFormat="1" applyFont="1" applyBorder="1" applyAlignment="1">
      <alignment horizontal="left" vertical="top"/>
    </xf>
    <xf numFmtId="0" fontId="32" fillId="0" borderId="29" xfId="0" applyFont="1" applyBorder="1" applyAlignment="1">
      <alignment horizontal="left" vertical="top"/>
    </xf>
    <xf numFmtId="0" fontId="32" fillId="0" borderId="108" xfId="0" applyFont="1" applyBorder="1" applyAlignment="1">
      <alignment horizontal="center" vertical="top"/>
    </xf>
    <xf numFmtId="0" fontId="32" fillId="0" borderId="63" xfId="0" applyFont="1" applyBorder="1" applyAlignment="1">
      <alignment horizontal="center" vertical="top" wrapText="1"/>
    </xf>
    <xf numFmtId="0" fontId="32" fillId="0" borderId="64" xfId="0" applyFont="1" applyBorder="1" applyAlignment="1">
      <alignment horizontal="center" vertical="top" wrapText="1"/>
    </xf>
    <xf numFmtId="0" fontId="32" fillId="0" borderId="66" xfId="0" applyFont="1" applyBorder="1" applyAlignment="1">
      <alignment horizontal="center" vertical="top" wrapText="1"/>
    </xf>
    <xf numFmtId="0" fontId="32" fillId="2" borderId="6" xfId="0" applyFont="1" applyFill="1" applyBorder="1" applyAlignment="1">
      <alignment horizontal="center" vertical="top" wrapText="1"/>
    </xf>
    <xf numFmtId="0" fontId="32" fillId="2" borderId="7" xfId="0" applyFont="1" applyFill="1" applyBorder="1" applyAlignment="1">
      <alignment horizontal="center" vertical="top" wrapText="1"/>
    </xf>
    <xf numFmtId="164" fontId="0" fillId="0" borderId="54" xfId="3" applyFont="1" applyBorder="1"/>
    <xf numFmtId="0" fontId="6" fillId="0" borderId="7" xfId="0" applyFont="1" applyBorder="1" applyAlignment="1">
      <alignment horizontal="center" wrapText="1"/>
    </xf>
    <xf numFmtId="4" fontId="33" fillId="2" borderId="30" xfId="0" applyNumberFormat="1" applyFont="1" applyFill="1" applyBorder="1" applyAlignment="1">
      <alignment horizontal="right" vertical="top" shrinkToFit="1"/>
    </xf>
    <xf numFmtId="4" fontId="33" fillId="2" borderId="31" xfId="0" applyNumberFormat="1" applyFont="1" applyFill="1" applyBorder="1" applyAlignment="1">
      <alignment horizontal="right" vertical="top" shrinkToFit="1"/>
    </xf>
    <xf numFmtId="164" fontId="0" fillId="2" borderId="6" xfId="3" applyFont="1" applyFill="1" applyBorder="1"/>
    <xf numFmtId="4" fontId="33" fillId="0" borderId="29" xfId="0" applyNumberFormat="1" applyFont="1" applyBorder="1" applyAlignment="1">
      <alignment horizontal="center" vertical="center" shrinkToFit="1"/>
    </xf>
    <xf numFmtId="164" fontId="0" fillId="2" borderId="0" xfId="3" applyFont="1" applyFill="1"/>
    <xf numFmtId="164" fontId="0" fillId="0" borderId="0" xfId="3" applyFont="1" applyFill="1"/>
    <xf numFmtId="1" fontId="33" fillId="2" borderId="39" xfId="0" applyNumberFormat="1" applyFont="1" applyFill="1" applyBorder="1" applyAlignment="1">
      <alignment shrinkToFit="1"/>
    </xf>
    <xf numFmtId="0" fontId="6" fillId="0" borderId="164" xfId="0" applyFont="1" applyBorder="1" applyAlignment="1">
      <alignment horizontal="center" wrapText="1"/>
    </xf>
    <xf numFmtId="4" fontId="33" fillId="2" borderId="25" xfId="0" applyNumberFormat="1" applyFont="1" applyFill="1" applyBorder="1" applyAlignment="1">
      <alignment horizontal="right" vertical="top" shrinkToFit="1"/>
    </xf>
    <xf numFmtId="4" fontId="33" fillId="2" borderId="67" xfId="0" applyNumberFormat="1" applyFont="1" applyFill="1" applyBorder="1" applyAlignment="1">
      <alignment horizontal="right" vertical="top" shrinkToFit="1"/>
    </xf>
    <xf numFmtId="49" fontId="12" fillId="0" borderId="3" xfId="0" applyNumberFormat="1" applyFont="1" applyBorder="1" applyAlignment="1">
      <alignment horizontal="centerContinuous" vertical="center"/>
    </xf>
    <xf numFmtId="49" fontId="36" fillId="0" borderId="26" xfId="0" applyNumberFormat="1" applyFont="1" applyBorder="1" applyAlignment="1">
      <alignment horizontal="centerContinuous" vertical="center"/>
    </xf>
    <xf numFmtId="0" fontId="4" fillId="0" borderId="17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5" fillId="0" borderId="63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4" fontId="5" fillId="0" borderId="24" xfId="0" applyNumberFormat="1" applyFont="1" applyBorder="1" applyAlignment="1">
      <alignment horizontal="right" vertical="center"/>
    </xf>
    <xf numFmtId="0" fontId="7" fillId="0" borderId="163" xfId="0" applyFont="1" applyBorder="1" applyAlignment="1">
      <alignment horizontal="left" vertical="center" wrapText="1"/>
    </xf>
    <xf numFmtId="0" fontId="31" fillId="0" borderId="163" xfId="0" applyFont="1" applyBorder="1" applyAlignment="1">
      <alignment horizontal="left" vertical="center" wrapText="1"/>
    </xf>
    <xf numFmtId="0" fontId="14" fillId="0" borderId="10" xfId="14" applyFont="1" applyBorder="1" applyAlignment="1">
      <alignment vertical="center"/>
    </xf>
    <xf numFmtId="0" fontId="14" fillId="0" borderId="0" xfId="14" applyFont="1" applyAlignment="1">
      <alignment vertical="center"/>
    </xf>
    <xf numFmtId="0" fontId="14" fillId="0" borderId="11" xfId="14" applyFont="1" applyBorder="1" applyAlignment="1">
      <alignment vertical="center"/>
    </xf>
    <xf numFmtId="10" fontId="14" fillId="0" borderId="13" xfId="14" applyNumberFormat="1" applyFont="1" applyBorder="1" applyAlignment="1">
      <alignment horizontal="left" vertical="center"/>
    </xf>
    <xf numFmtId="0" fontId="14" fillId="0" borderId="15" xfId="14" applyFont="1" applyBorder="1" applyAlignment="1">
      <alignment horizontal="left" vertical="center"/>
    </xf>
    <xf numFmtId="0" fontId="14" fillId="0" borderId="17" xfId="14" applyFont="1" applyBorder="1" applyAlignment="1">
      <alignment horizontal="left" vertical="center"/>
    </xf>
    <xf numFmtId="10" fontId="14" fillId="0" borderId="71" xfId="17" applyNumberFormat="1" applyFont="1" applyBorder="1" applyAlignment="1">
      <alignment horizontal="center" vertical="center"/>
    </xf>
    <xf numFmtId="10" fontId="14" fillId="0" borderId="75" xfId="17" applyNumberFormat="1" applyFont="1" applyBorder="1" applyAlignment="1">
      <alignment horizontal="center" vertical="center"/>
    </xf>
    <xf numFmtId="168" fontId="14" fillId="8" borderId="26" xfId="16" applyNumberFormat="1" applyFont="1" applyFill="1" applyBorder="1" applyAlignment="1" applyProtection="1">
      <alignment horizontal="center"/>
      <protection locked="0"/>
    </xf>
    <xf numFmtId="168" fontId="6" fillId="0" borderId="26" xfId="14" applyNumberFormat="1" applyBorder="1" applyAlignment="1" applyProtection="1">
      <alignment horizontal="center"/>
      <protection locked="0"/>
    </xf>
    <xf numFmtId="168" fontId="6" fillId="0" borderId="34" xfId="14" applyNumberFormat="1" applyBorder="1" applyAlignment="1" applyProtection="1">
      <alignment horizontal="center"/>
      <protection locked="0"/>
    </xf>
    <xf numFmtId="168" fontId="14" fillId="0" borderId="10" xfId="16" applyNumberFormat="1" applyFont="1" applyBorder="1" applyAlignment="1">
      <alignment horizontal="center"/>
    </xf>
    <xf numFmtId="168" fontId="14" fillId="0" borderId="0" xfId="16" applyNumberFormat="1" applyFont="1" applyAlignment="1">
      <alignment horizontal="center"/>
    </xf>
    <xf numFmtId="169" fontId="14" fillId="0" borderId="13" xfId="5" applyNumberFormat="1" applyFont="1" applyBorder="1" applyAlignment="1">
      <alignment horizontal="left" vertical="center"/>
    </xf>
    <xf numFmtId="0" fontId="15" fillId="0" borderId="15" xfId="5" applyFont="1" applyBorder="1" applyAlignment="1">
      <alignment horizontal="left" vertical="center"/>
    </xf>
    <xf numFmtId="0" fontId="15" fillId="0" borderId="17" xfId="5" applyFont="1" applyBorder="1" applyAlignment="1">
      <alignment horizontal="left" vertical="center"/>
    </xf>
    <xf numFmtId="10" fontId="4" fillId="0" borderId="0" xfId="17" applyNumberFormat="1" applyFont="1" applyAlignment="1">
      <alignment horizontal="left" vertical="center"/>
    </xf>
    <xf numFmtId="10" fontId="4" fillId="0" borderId="11" xfId="17" applyNumberFormat="1" applyFont="1" applyBorder="1" applyAlignment="1">
      <alignment horizontal="left" vertical="center"/>
    </xf>
  </cellXfs>
  <cellStyles count="160">
    <cellStyle name="Excel Built-in Normal" xfId="157" xr:uid="{10B98137-B1FC-4AA4-809B-C20450DCBF26}"/>
    <cellStyle name="Hiperlink" xfId="19" builtinId="8"/>
    <cellStyle name="Moeda 12" xfId="155" xr:uid="{AB4D3300-7360-4B4C-A9CF-C48DCA9F9094}"/>
    <cellStyle name="Moeda 2" xfId="158" xr:uid="{60A7D3C2-592F-46BB-911D-B68401580008}"/>
    <cellStyle name="Moeda 3 3 2" xfId="153" xr:uid="{8C30ED34-47F3-4624-A1FC-1C1044F90D78}"/>
    <cellStyle name="Moeda 4 3" xfId="152" xr:uid="{AFBC781F-2EDE-4B9A-82D1-AB36FE4BBE54}"/>
    <cellStyle name="Normal" xfId="0" builtinId="0"/>
    <cellStyle name="Normal 10 2" xfId="22" xr:uid="{C7FCEA2D-0802-447D-8D86-5D64D1C95BB9}"/>
    <cellStyle name="Normal 10 3" xfId="23" xr:uid="{2C3C9984-F31C-4CFD-898F-1297822CBB8C}"/>
    <cellStyle name="Normal 10 4" xfId="24" xr:uid="{1B28E536-041D-4810-83F2-0682B0D9EE51}"/>
    <cellStyle name="Normal 11 2" xfId="25" xr:uid="{FF3D04AE-023F-4D91-8881-74D59BEB479B}"/>
    <cellStyle name="Normal 11 3" xfId="26" xr:uid="{75559A7B-9573-4711-9321-BB1358E98D5D}"/>
    <cellStyle name="Normal 11 4" xfId="27" xr:uid="{C0707868-9A97-493B-B8C9-E1B669DF1E76}"/>
    <cellStyle name="Normal 12 2" xfId="28" xr:uid="{ABEC43A4-7BE0-4082-AD8F-7A6882C027ED}"/>
    <cellStyle name="Normal 12 3" xfId="29" xr:uid="{0D351B11-7AFB-49E9-99F3-D5119ADACE86}"/>
    <cellStyle name="Normal 12 4" xfId="30" xr:uid="{6367D256-4489-4025-83ED-FFE700279C79}"/>
    <cellStyle name="Normal 13 2" xfId="31" xr:uid="{8928A61C-4754-43CB-82F6-ADE5F617FE82}"/>
    <cellStyle name="Normal 13 3" xfId="32" xr:uid="{0E92D683-C35C-4F8B-A344-AC729973C7EF}"/>
    <cellStyle name="Normal 13 4" xfId="33" xr:uid="{3E9F75A5-D3E8-447A-B32A-AF624BB5FBD4}"/>
    <cellStyle name="Normal 14 2" xfId="34" xr:uid="{3DA75A01-9915-4FB1-A32C-F1E913EA1BDF}"/>
    <cellStyle name="Normal 14 3" xfId="35" xr:uid="{309D6D10-9EDB-4458-936D-C06D91310ECC}"/>
    <cellStyle name="Normal 14 4" xfId="36" xr:uid="{70C731D3-4BE2-41FC-8356-DA7A89FC439A}"/>
    <cellStyle name="Normal 15 2" xfId="37" xr:uid="{4136AC20-6F49-455F-8993-3DA0FA2BC0F5}"/>
    <cellStyle name="Normal 15 3" xfId="38" xr:uid="{5E76747C-B0BD-4442-9B44-6A59BB588122}"/>
    <cellStyle name="Normal 15 4" xfId="39" xr:uid="{F5C336F7-42EA-41BD-B816-8BE04C65C87E}"/>
    <cellStyle name="Normal 16 2" xfId="40" xr:uid="{F922C8B3-8D4F-4623-AA03-9A33CA5538B7}"/>
    <cellStyle name="Normal 16 3" xfId="41" xr:uid="{6749395D-AF22-43D2-9159-4C70F27EF2A5}"/>
    <cellStyle name="Normal 16 4" xfId="42" xr:uid="{B9BC0DA6-F94E-4B34-94A9-E92BA5537916}"/>
    <cellStyle name="Normal 17 2" xfId="43" xr:uid="{C7B22DEB-2629-48E3-A160-7D7EA3B0F2F8}"/>
    <cellStyle name="Normal 17 3" xfId="44" xr:uid="{74B0582A-AA88-416B-9839-B215694DFC0F}"/>
    <cellStyle name="Normal 17 4" xfId="45" xr:uid="{348D6B10-F398-440E-85B1-FB9B4B8B44A1}"/>
    <cellStyle name="Normal 18 2" xfId="46" xr:uid="{2005345E-D6F6-444F-B9E2-5E0D7102B8FC}"/>
    <cellStyle name="Normal 18 3" xfId="47" xr:uid="{D74B0C17-8373-47BA-9F36-36B77514CE68}"/>
    <cellStyle name="Normal 18 4" xfId="48" xr:uid="{4C9D047A-A246-4724-9E22-F4CDEBBAB784}"/>
    <cellStyle name="Normal 19 2" xfId="49" xr:uid="{0EF93FF7-70F0-4BBD-BBFF-FF5E6F478CAD}"/>
    <cellStyle name="Normal 19 3" xfId="50" xr:uid="{84ABC0A0-EA88-42CD-8CC4-370AC8FB1620}"/>
    <cellStyle name="Normal 19 4" xfId="51" xr:uid="{CF3F0304-FADE-42BF-87FE-35E753E1D550}"/>
    <cellStyle name="Normal 2" xfId="5" xr:uid="{00000000-0005-0000-0000-000001000000}"/>
    <cellStyle name="Normal 2 10" xfId="52" xr:uid="{ACB7E18F-C2C8-4872-8DB0-7CC998E4057E}"/>
    <cellStyle name="Normal 2 11" xfId="53" xr:uid="{B4ACC4E6-CC91-46C8-B767-A18C9B6B57E3}"/>
    <cellStyle name="Normal 2 12" xfId="54" xr:uid="{809C6789-ABEC-48B3-84F5-EBDC52AAE48B}"/>
    <cellStyle name="Normal 2 13" xfId="55" xr:uid="{101A7850-C92C-4BEE-9672-4FD0CFA4E2E6}"/>
    <cellStyle name="Normal 2 14" xfId="56" xr:uid="{BB0C27BD-B2E3-401D-82B5-41F0D3DD2FD9}"/>
    <cellStyle name="Normal 2 15" xfId="57" xr:uid="{D36A2230-714E-4655-B328-1D20F782EDAC}"/>
    <cellStyle name="Normal 2 16" xfId="58" xr:uid="{5F55B2C7-AFC9-4850-84F3-1A1AD5D79D0B}"/>
    <cellStyle name="Normal 2 17" xfId="59" xr:uid="{2515E2F0-15F3-463C-B57E-DE86C49B6E37}"/>
    <cellStyle name="Normal 2 18" xfId="60" xr:uid="{33E87679-146A-4C3C-9B17-872B0518507F}"/>
    <cellStyle name="Normal 2 19" xfId="61" xr:uid="{656903E4-B91A-44BB-9847-D54DCD1BD780}"/>
    <cellStyle name="Normal 2 2" xfId="62" xr:uid="{3C0F8230-37A8-4BA2-9E40-64B6DB053FC9}"/>
    <cellStyle name="Normal 2 2 2" xfId="154" xr:uid="{849FA99B-7FB7-44C6-AD1E-3FB47F540C58}"/>
    <cellStyle name="Normal 2 20" xfId="63" xr:uid="{C6120081-5E2D-4E44-A7B6-B78A182A36E8}"/>
    <cellStyle name="Normal 2 21" xfId="64" xr:uid="{3D33F6D9-23B0-4E52-81AB-077E861C1ADB}"/>
    <cellStyle name="Normal 2 22" xfId="21" xr:uid="{511BF938-2397-4C5F-B738-44698843AB9E}"/>
    <cellStyle name="Normal 2 3" xfId="65" xr:uid="{B14BB4FF-5955-483F-A570-CC99ED7BD953}"/>
    <cellStyle name="Normal 2 4" xfId="66" xr:uid="{7743081C-937E-451F-8797-0A6AF3B3529D}"/>
    <cellStyle name="Normal 2 5" xfId="67" xr:uid="{62E960DF-B3AF-4D0A-9225-6268C8CFC5F8}"/>
    <cellStyle name="Normal 2 6" xfId="68" xr:uid="{3B7198EC-4F18-4587-A3C5-3A8018C39A13}"/>
    <cellStyle name="Normal 2 7" xfId="69" xr:uid="{959FE131-6A83-4F89-AB28-681A32CD438F}"/>
    <cellStyle name="Normal 2 8" xfId="70" xr:uid="{D099EE72-447C-46FD-BDEC-BB09802024EE}"/>
    <cellStyle name="Normal 2 9" xfId="71" xr:uid="{2558FBDE-C045-4107-9C5E-B14E99959BBC}"/>
    <cellStyle name="Normal 3" xfId="8" xr:uid="{00000000-0005-0000-0000-000002000000}"/>
    <cellStyle name="Normal 3 2" xfId="7" xr:uid="{00000000-0005-0000-0000-000003000000}"/>
    <cellStyle name="Normal 3 3" xfId="14" xr:uid="{00000000-0005-0000-0000-000004000000}"/>
    <cellStyle name="Normal 3 4" xfId="11" xr:uid="{00000000-0005-0000-0000-000005000000}"/>
    <cellStyle name="Normal 4" xfId="18" xr:uid="{D97A6843-BF6A-4D2B-8C8E-A7F111332292}"/>
    <cellStyle name="Normal 4 10" xfId="73" xr:uid="{B36BF202-47D5-456B-BFB8-0A0394404CCC}"/>
    <cellStyle name="Normal 4 10 2" xfId="150" xr:uid="{78A8D8A7-670E-44BE-81CD-4FD040AA0227}"/>
    <cellStyle name="Normal 4 11" xfId="74" xr:uid="{98D9EB4E-F0A3-4F95-8C0D-23A4FA36BCC9}"/>
    <cellStyle name="Normal 4 12" xfId="72" xr:uid="{DD519264-20EA-4A9E-BF5E-BEEDC245AD7E}"/>
    <cellStyle name="Normal 4 13" xfId="112" xr:uid="{ABBA0781-E7F3-48CC-881F-8E45ACD043D9}"/>
    <cellStyle name="Normal 4 2" xfId="75" xr:uid="{41284BDE-4500-4BF7-ADB3-B123CF3E0536}"/>
    <cellStyle name="Normal 4 3" xfId="76" xr:uid="{B4C16A7F-9C14-4D78-BDCF-78217B452A80}"/>
    <cellStyle name="Normal 4 3 2 2" xfId="151" xr:uid="{E06BA928-A390-42D2-A5D2-E511CC7B6A5E}"/>
    <cellStyle name="Normal 4 4" xfId="77" xr:uid="{7AC2BEA2-DE1A-4AB4-80CB-A1DFD9077352}"/>
    <cellStyle name="Normal 4 4 2" xfId="148" xr:uid="{F02FCFE7-BEF5-46B3-A382-B11E14998804}"/>
    <cellStyle name="Normal 4 5" xfId="78" xr:uid="{5577A017-0455-4544-B939-6F73D2F3B918}"/>
    <cellStyle name="Normal 4 5 2" xfId="139" xr:uid="{AA6B3F73-2804-435B-8D72-A38F98840B9F}"/>
    <cellStyle name="Normal 4 6" xfId="79" xr:uid="{3EACBA21-A394-48F4-849B-CE2F5A5C48C3}"/>
    <cellStyle name="Normal 4 6 2" xfId="130" xr:uid="{48F01CBF-8D2A-406B-948D-5CD4BA38FF55}"/>
    <cellStyle name="Normal 4 7" xfId="80" xr:uid="{A98A0350-57C1-4C50-95AF-0CE56658E16A}"/>
    <cellStyle name="Normal 4 7 2" xfId="121" xr:uid="{B3B1C3A7-692B-4C3A-91C3-4BADC99A318A}"/>
    <cellStyle name="Normal 4 8" xfId="81" xr:uid="{2F811A85-B013-4F4B-A71B-10CDFB547C66}"/>
    <cellStyle name="Normal 4 9" xfId="82" xr:uid="{BE771318-719F-41AC-B575-263EAF232427}"/>
    <cellStyle name="Normal 5" xfId="83" xr:uid="{C5C4EDE3-A3E6-4CA1-9388-1DFBCC0FF7D7}"/>
    <cellStyle name="Normal 5 2" xfId="84" xr:uid="{DA56EAD1-E373-4199-BF9B-8FDADBBCF129}"/>
    <cellStyle name="Normal 5 2 2" xfId="149" xr:uid="{15708939-B83C-468E-BA00-34ABB47CA0D9}"/>
    <cellStyle name="Normal 5 3" xfId="85" xr:uid="{E36560E3-FD16-4908-BB23-08915F744073}"/>
    <cellStyle name="Normal 5 3 2" xfId="141" xr:uid="{8CBBCBFD-5265-4648-A41A-DDF726ECE915}"/>
    <cellStyle name="Normal 5 4" xfId="86" xr:uid="{63313625-B24C-4C38-9895-BE88C27450B7}"/>
    <cellStyle name="Normal 5 4 2" xfId="132" xr:uid="{39272284-334F-4ACB-B353-53ACF55E49B4}"/>
    <cellStyle name="Normal 5 5" xfId="87" xr:uid="{4074A621-82F6-4987-AAE5-C9C31F3037F8}"/>
    <cellStyle name="Normal 5 5 2" xfId="123" xr:uid="{CA40D97F-8E35-469F-90F1-B92599660714}"/>
    <cellStyle name="Normal 5 6" xfId="88" xr:uid="{59BF184F-3AD4-4AEC-B1A9-B4ABD1833F84}"/>
    <cellStyle name="Normal 5 7" xfId="89" xr:uid="{7577B450-D862-4ED9-9D62-13925608F243}"/>
    <cellStyle name="Normal 5 8" xfId="114" xr:uid="{D2839F95-CFB7-4279-A21D-1E2B2B0C64F0}"/>
    <cellStyle name="Normal 6" xfId="20" xr:uid="{DA8B8AA9-1105-4604-9FEE-B0513E03CBCA}"/>
    <cellStyle name="Normal 6 2" xfId="90" xr:uid="{9BE141E4-C440-4E2F-8017-A8D51E31E22D}"/>
    <cellStyle name="Normal 6 2 2" xfId="140" xr:uid="{2422D744-5F7E-43CA-A9A9-92D5FA3A5BE3}"/>
    <cellStyle name="Normal 6 3" xfId="91" xr:uid="{DAB3E6ED-54AD-48DB-B6EA-E2F501A47C24}"/>
    <cellStyle name="Normal 6 3 2" xfId="131" xr:uid="{231800F5-0D23-4E46-8430-7EC847DBB039}"/>
    <cellStyle name="Normal 6 4" xfId="92" xr:uid="{9FD44A23-58CE-4E7C-ACE1-9AE26A615B34}"/>
    <cellStyle name="Normal 6 4 2" xfId="122" xr:uid="{1A328B13-F35F-4DC0-A770-3D294710250C}"/>
    <cellStyle name="Normal 6 5" xfId="93" xr:uid="{95A24833-38B4-41D0-9323-593E487C416A}"/>
    <cellStyle name="Normal 6 6" xfId="94" xr:uid="{F1109F14-154B-4BF1-A40C-AF0887464BA9}"/>
    <cellStyle name="Normal 6 7" xfId="95" xr:uid="{4C316656-B851-49F5-81AD-3E2B9BE990F4}"/>
    <cellStyle name="Normal 6 8" xfId="113" xr:uid="{2F40CFB0-4A6D-48D6-877B-29636BE4791F}"/>
    <cellStyle name="Normal 7" xfId="159" xr:uid="{E0DD3128-3620-435C-8E79-AFC8DAC7E0C4}"/>
    <cellStyle name="Normal 7 2" xfId="96" xr:uid="{7D5C0329-7B08-4083-B2E7-4168F8B5914A}"/>
    <cellStyle name="Normal 7 3" xfId="97" xr:uid="{0F77AD3C-8E18-4381-BFF1-39842BE65A68}"/>
    <cellStyle name="Normal 7 4" xfId="98" xr:uid="{88D306A4-D2E1-4303-9063-6BB54BC4B1BC}"/>
    <cellStyle name="Normal 7 5" xfId="99" xr:uid="{621D4AC6-78A3-4EB3-B661-E76C018FD74B}"/>
    <cellStyle name="Normal 7 6" xfId="100" xr:uid="{B46AC82E-C724-4B59-B72B-DABC674D7764}"/>
    <cellStyle name="Normal 7 7" xfId="101" xr:uid="{A509A7F7-6469-4DD0-BCBE-B2B30CE96062}"/>
    <cellStyle name="Normal_ORÇAMENTO" xfId="1" xr:uid="{00000000-0005-0000-0000-000006000000}"/>
    <cellStyle name="Normal_ORÇAMENTO ALTERNATIVA 1 DER Junho2001" xfId="2" xr:uid="{00000000-0005-0000-0000-000007000000}"/>
    <cellStyle name="Porcentagem" xfId="4" builtinId="5"/>
    <cellStyle name="Porcentagem 2" xfId="6" xr:uid="{00000000-0005-0000-0000-000009000000}"/>
    <cellStyle name="Porcentagem 2 2" xfId="102" xr:uid="{34EFAD30-8928-45E4-BFD9-852E61117846}"/>
    <cellStyle name="Porcentagem 3" xfId="17" xr:uid="{22B45934-657F-4C4D-826C-FAA67E1BFC93}"/>
    <cellStyle name="Separador de milhares 2" xfId="103" xr:uid="{C9C04083-41F9-4FD2-8672-A5B8D6C19932}"/>
    <cellStyle name="Separador de milhares 2 2" xfId="104" xr:uid="{DBCAC4F9-8C44-4F09-B628-30CE8D544F90}"/>
    <cellStyle name="Separador de milhares 3" xfId="105" xr:uid="{0D9E3DBE-A014-49C4-809C-8D9D7E81E362}"/>
    <cellStyle name="Vírgula" xfId="3" builtinId="3"/>
    <cellStyle name="Vírgula 11" xfId="156" xr:uid="{2672BB9B-52DE-49C3-AF68-1D32D2972C68}"/>
    <cellStyle name="Vírgula 2" xfId="9" xr:uid="{00000000-0005-0000-0000-00000B000000}"/>
    <cellStyle name="Vírgula 2 2" xfId="15" xr:uid="{00000000-0005-0000-0000-00000C000000}"/>
    <cellStyle name="Vírgula 2 2 2" xfId="146" xr:uid="{F2CD5E26-48AF-40B9-AE5C-F163D00D3677}"/>
    <cellStyle name="Vírgula 2 2 3" xfId="137" xr:uid="{1289AA73-4C29-4AEE-856F-042D12B83296}"/>
    <cellStyle name="Vírgula 2 2 4" xfId="128" xr:uid="{FCC8304D-3A5B-4A85-8521-4D63763E3CC5}"/>
    <cellStyle name="Vírgula 2 2 5" xfId="119" xr:uid="{A0E47A97-901E-49EE-BB16-DAEB76AD5170}"/>
    <cellStyle name="Vírgula 2 2 6" xfId="110" xr:uid="{A2867CDB-7988-4E11-9DBD-15BA0D17E8EA}"/>
    <cellStyle name="Vírgula 2 3" xfId="12" xr:uid="{00000000-0005-0000-0000-00000D000000}"/>
    <cellStyle name="Vírgula 2 3 2" xfId="144" xr:uid="{2994A736-DD93-4235-BFE9-6A77DC59C003}"/>
    <cellStyle name="Vírgula 2 3 3" xfId="135" xr:uid="{A3A55303-9E26-4C8F-8AF5-D359D0FCAFF5}"/>
    <cellStyle name="Vírgula 2 3 4" xfId="126" xr:uid="{DABE6D47-E9E3-4564-9E39-652696942B77}"/>
    <cellStyle name="Vírgula 2 3 5" xfId="117" xr:uid="{1A350242-EB3B-455E-81BA-7DC06E80236A}"/>
    <cellStyle name="Vírgula 2 3 6" xfId="108" xr:uid="{8772CC36-09C4-42BF-8657-2945C60AF9A5}"/>
    <cellStyle name="Vírgula 2 4" xfId="142" xr:uid="{56D05F88-97B2-49EF-8E1B-C35F935A4447}"/>
    <cellStyle name="Vírgula 2 5" xfId="133" xr:uid="{91315B9B-5EBF-4F2E-8D44-EE6333189342}"/>
    <cellStyle name="Vírgula 2 6" xfId="124" xr:uid="{A77CC264-516E-46D3-AFA0-97D4D9097C0B}"/>
    <cellStyle name="Vírgula 2 7" xfId="115" xr:uid="{1EDF58AD-0D72-46C7-8B57-F5CF36DDEA65}"/>
    <cellStyle name="Vírgula 2 8" xfId="106" xr:uid="{7C62E288-1800-468D-93DB-D263E0B9D001}"/>
    <cellStyle name="Vírgula 3" xfId="13" xr:uid="{00000000-0005-0000-0000-00000E000000}"/>
    <cellStyle name="Vírgula 3 2" xfId="145" xr:uid="{3C4CE46C-70B4-40E1-A121-8BDEDEC49BE9}"/>
    <cellStyle name="Vírgula 3 3" xfId="136" xr:uid="{60895C00-E611-48DF-8497-73D91063EA10}"/>
    <cellStyle name="Vírgula 3 4" xfId="127" xr:uid="{DF1EF070-458F-49B1-A387-F2F4936A53AF}"/>
    <cellStyle name="Vírgula 3 5" xfId="118" xr:uid="{8183DEE9-B13E-47E5-B48B-BDB527640A11}"/>
    <cellStyle name="Vírgula 3 6" xfId="109" xr:uid="{D14EDB25-7542-4A62-B4A4-5057A8123FAF}"/>
    <cellStyle name="Vírgula 4" xfId="10" xr:uid="{00000000-0005-0000-0000-00000F000000}"/>
    <cellStyle name="Vírgula 4 2" xfId="143" xr:uid="{7F4C6983-64BE-4A4E-889A-8DFBC0D05F6A}"/>
    <cellStyle name="Vírgula 4 3" xfId="134" xr:uid="{70EAABE1-E7C9-420F-A01A-73519D6A0C49}"/>
    <cellStyle name="Vírgula 4 4" xfId="125" xr:uid="{479B3948-4FC1-49E5-9C4E-1499A20A8DD7}"/>
    <cellStyle name="Vírgula 4 5" xfId="116" xr:uid="{2717CE74-02E1-4382-82EA-346CFF93782B}"/>
    <cellStyle name="Vírgula 4 6" xfId="107" xr:uid="{7B35B2E4-FDAC-4E19-8262-F7486F80D581}"/>
    <cellStyle name="Vírgula 5" xfId="16" xr:uid="{413EA061-10DD-4953-B4D5-AF5325160EE2}"/>
    <cellStyle name="Vírgula 5 2" xfId="147" xr:uid="{17F9D0EC-CAD1-4809-8154-C62BB332A8E8}"/>
    <cellStyle name="Vírgula 5 3" xfId="138" xr:uid="{2F59BA34-34DB-422B-9A80-4AA87F5ABE51}"/>
    <cellStyle name="Vírgula 5 4" xfId="129" xr:uid="{0E788158-FFA4-419F-B3AB-1ABE570EDBA5}"/>
    <cellStyle name="Vírgula 5 5" xfId="120" xr:uid="{08CF154D-7B5B-4E40-98EF-F3C83BA17B00}"/>
    <cellStyle name="Vírgula 5 6" xfId="111" xr:uid="{945F71B8-3BFF-4264-9D10-5481B4C65A9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uy\_01%20Reequil&#237;brio%20-%20arquivos%20revisados\Realinamento%20SET%202017-INCC-mensal%20ANP-DNI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UYJOSE/BACK_UP/viabilidade%20normal%202019/Reequilibrio%20base%20tabela%20jun%202018%20AGO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P após 2015"/>
      <sheetName val="INCC"/>
      <sheetName val="IGP-DI"/>
      <sheetName val="PROPOSTA"/>
      <sheetName val="med_SEM REEQ"/>
      <sheetName val="med a"/>
      <sheetName val="med b"/>
      <sheetName val="med c"/>
      <sheetName val="med d"/>
      <sheetName val="med e"/>
      <sheetName val="med f"/>
      <sheetName val="med g"/>
      <sheetName val="med h"/>
      <sheetName val="med i"/>
      <sheetName val="med-soma"/>
      <sheetName val="saldo"/>
      <sheetName val="global"/>
      <sheetName val="Planilh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gov.br/anp/pt-br/assuntos/precos-e-defesa-da-concorrencia/precos/precos-de-distribuicao-de-produtos-asfalticos" TargetMode="External"/><Relationship Id="rId2" Type="http://schemas.openxmlformats.org/officeDocument/2006/relationships/hyperlink" Target="https://www.gov.br/anp/pt-br/assuntos/precos-e-defesa-da-concorrencia/precos/precos-de-produtores-e-importadores-de-derivados-de-petroleo" TargetMode="External"/><Relationship Id="rId1" Type="http://schemas.openxmlformats.org/officeDocument/2006/relationships/hyperlink" Target="https://www.gov.br/anp/pt-br/assuntos/precos-e-defesa-da-concorrencia/precos/precos-de-distribuicao-de-produtos-asfalticos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gov.br/anp/pt-br/assuntos/precos-e-defesa-da-concorrencia/precos/precos-de-produtores-e-importadores-de-derivados-de-petroleo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8C46C-9993-4EE8-8CD8-943CF6425345}">
  <sheetPr codeName="Planilha1"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6640625" defaultRowHeight="12.75" x14ac:dyDescent="0.2"/>
  <cols>
    <col min="1" max="1" width="10.6640625" style="6" customWidth="1"/>
    <col min="2" max="2" width="13.1640625" style="6" customWidth="1"/>
    <col min="3" max="3" width="38" style="6" customWidth="1"/>
    <col min="4" max="4" width="3.83203125" style="6" customWidth="1"/>
    <col min="5" max="16" width="10" style="6" customWidth="1"/>
    <col min="17" max="17" width="10.6640625" style="6" customWidth="1"/>
    <col min="18" max="255" width="10.6640625" style="6"/>
    <col min="256" max="256" width="13.1640625" style="6" customWidth="1"/>
    <col min="257" max="257" width="79" style="6" customWidth="1"/>
    <col min="258" max="258" width="3.83203125" style="6" customWidth="1"/>
    <col min="259" max="271" width="12.5" style="6" customWidth="1"/>
    <col min="272" max="272" width="8.5" style="6" customWidth="1"/>
    <col min="273" max="511" width="10.6640625" style="6"/>
    <col min="512" max="512" width="13.1640625" style="6" customWidth="1"/>
    <col min="513" max="513" width="79" style="6" customWidth="1"/>
    <col min="514" max="514" width="3.83203125" style="6" customWidth="1"/>
    <col min="515" max="527" width="12.5" style="6" customWidth="1"/>
    <col min="528" max="528" width="8.5" style="6" customWidth="1"/>
    <col min="529" max="767" width="10.6640625" style="6"/>
    <col min="768" max="768" width="13.1640625" style="6" customWidth="1"/>
    <col min="769" max="769" width="79" style="6" customWidth="1"/>
    <col min="770" max="770" width="3.83203125" style="6" customWidth="1"/>
    <col min="771" max="783" width="12.5" style="6" customWidth="1"/>
    <col min="784" max="784" width="8.5" style="6" customWidth="1"/>
    <col min="785" max="1023" width="10.6640625" style="6"/>
    <col min="1024" max="1024" width="13.1640625" style="6" customWidth="1"/>
    <col min="1025" max="1025" width="79" style="6" customWidth="1"/>
    <col min="1026" max="1026" width="3.83203125" style="6" customWidth="1"/>
    <col min="1027" max="1039" width="12.5" style="6" customWidth="1"/>
    <col min="1040" max="1040" width="8.5" style="6" customWidth="1"/>
    <col min="1041" max="1279" width="10.6640625" style="6"/>
    <col min="1280" max="1280" width="13.1640625" style="6" customWidth="1"/>
    <col min="1281" max="1281" width="79" style="6" customWidth="1"/>
    <col min="1282" max="1282" width="3.83203125" style="6" customWidth="1"/>
    <col min="1283" max="1295" width="12.5" style="6" customWidth="1"/>
    <col min="1296" max="1296" width="8.5" style="6" customWidth="1"/>
    <col min="1297" max="1535" width="10.6640625" style="6"/>
    <col min="1536" max="1536" width="13.1640625" style="6" customWidth="1"/>
    <col min="1537" max="1537" width="79" style="6" customWidth="1"/>
    <col min="1538" max="1538" width="3.83203125" style="6" customWidth="1"/>
    <col min="1539" max="1551" width="12.5" style="6" customWidth="1"/>
    <col min="1552" max="1552" width="8.5" style="6" customWidth="1"/>
    <col min="1553" max="1791" width="10.6640625" style="6"/>
    <col min="1792" max="1792" width="13.1640625" style="6" customWidth="1"/>
    <col min="1793" max="1793" width="79" style="6" customWidth="1"/>
    <col min="1794" max="1794" width="3.83203125" style="6" customWidth="1"/>
    <col min="1795" max="1807" width="12.5" style="6" customWidth="1"/>
    <col min="1808" max="1808" width="8.5" style="6" customWidth="1"/>
    <col min="1809" max="2047" width="10.6640625" style="6"/>
    <col min="2048" max="2048" width="13.1640625" style="6" customWidth="1"/>
    <col min="2049" max="2049" width="79" style="6" customWidth="1"/>
    <col min="2050" max="2050" width="3.83203125" style="6" customWidth="1"/>
    <col min="2051" max="2063" width="12.5" style="6" customWidth="1"/>
    <col min="2064" max="2064" width="8.5" style="6" customWidth="1"/>
    <col min="2065" max="2303" width="10.6640625" style="6"/>
    <col min="2304" max="2304" width="13.1640625" style="6" customWidth="1"/>
    <col min="2305" max="2305" width="79" style="6" customWidth="1"/>
    <col min="2306" max="2306" width="3.83203125" style="6" customWidth="1"/>
    <col min="2307" max="2319" width="12.5" style="6" customWidth="1"/>
    <col min="2320" max="2320" width="8.5" style="6" customWidth="1"/>
    <col min="2321" max="2559" width="10.6640625" style="6"/>
    <col min="2560" max="2560" width="13.1640625" style="6" customWidth="1"/>
    <col min="2561" max="2561" width="79" style="6" customWidth="1"/>
    <col min="2562" max="2562" width="3.83203125" style="6" customWidth="1"/>
    <col min="2563" max="2575" width="12.5" style="6" customWidth="1"/>
    <col min="2576" max="2576" width="8.5" style="6" customWidth="1"/>
    <col min="2577" max="2815" width="10.6640625" style="6"/>
    <col min="2816" max="2816" width="13.1640625" style="6" customWidth="1"/>
    <col min="2817" max="2817" width="79" style="6" customWidth="1"/>
    <col min="2818" max="2818" width="3.83203125" style="6" customWidth="1"/>
    <col min="2819" max="2831" width="12.5" style="6" customWidth="1"/>
    <col min="2832" max="2832" width="8.5" style="6" customWidth="1"/>
    <col min="2833" max="3071" width="10.6640625" style="6"/>
    <col min="3072" max="3072" width="13.1640625" style="6" customWidth="1"/>
    <col min="3073" max="3073" width="79" style="6" customWidth="1"/>
    <col min="3074" max="3074" width="3.83203125" style="6" customWidth="1"/>
    <col min="3075" max="3087" width="12.5" style="6" customWidth="1"/>
    <col min="3088" max="3088" width="8.5" style="6" customWidth="1"/>
    <col min="3089" max="3327" width="10.6640625" style="6"/>
    <col min="3328" max="3328" width="13.1640625" style="6" customWidth="1"/>
    <col min="3329" max="3329" width="79" style="6" customWidth="1"/>
    <col min="3330" max="3330" width="3.83203125" style="6" customWidth="1"/>
    <col min="3331" max="3343" width="12.5" style="6" customWidth="1"/>
    <col min="3344" max="3344" width="8.5" style="6" customWidth="1"/>
    <col min="3345" max="3583" width="10.6640625" style="6"/>
    <col min="3584" max="3584" width="13.1640625" style="6" customWidth="1"/>
    <col min="3585" max="3585" width="79" style="6" customWidth="1"/>
    <col min="3586" max="3586" width="3.83203125" style="6" customWidth="1"/>
    <col min="3587" max="3599" width="12.5" style="6" customWidth="1"/>
    <col min="3600" max="3600" width="8.5" style="6" customWidth="1"/>
    <col min="3601" max="3839" width="10.6640625" style="6"/>
    <col min="3840" max="3840" width="13.1640625" style="6" customWidth="1"/>
    <col min="3841" max="3841" width="79" style="6" customWidth="1"/>
    <col min="3842" max="3842" width="3.83203125" style="6" customWidth="1"/>
    <col min="3843" max="3855" width="12.5" style="6" customWidth="1"/>
    <col min="3856" max="3856" width="8.5" style="6" customWidth="1"/>
    <col min="3857" max="4095" width="10.6640625" style="6"/>
    <col min="4096" max="4096" width="13.1640625" style="6" customWidth="1"/>
    <col min="4097" max="4097" width="79" style="6" customWidth="1"/>
    <col min="4098" max="4098" width="3.83203125" style="6" customWidth="1"/>
    <col min="4099" max="4111" width="12.5" style="6" customWidth="1"/>
    <col min="4112" max="4112" width="8.5" style="6" customWidth="1"/>
    <col min="4113" max="4351" width="10.6640625" style="6"/>
    <col min="4352" max="4352" width="13.1640625" style="6" customWidth="1"/>
    <col min="4353" max="4353" width="79" style="6" customWidth="1"/>
    <col min="4354" max="4354" width="3.83203125" style="6" customWidth="1"/>
    <col min="4355" max="4367" width="12.5" style="6" customWidth="1"/>
    <col min="4368" max="4368" width="8.5" style="6" customWidth="1"/>
    <col min="4369" max="4607" width="10.6640625" style="6"/>
    <col min="4608" max="4608" width="13.1640625" style="6" customWidth="1"/>
    <col min="4609" max="4609" width="79" style="6" customWidth="1"/>
    <col min="4610" max="4610" width="3.83203125" style="6" customWidth="1"/>
    <col min="4611" max="4623" width="12.5" style="6" customWidth="1"/>
    <col min="4624" max="4624" width="8.5" style="6" customWidth="1"/>
    <col min="4625" max="4863" width="10.6640625" style="6"/>
    <col min="4864" max="4864" width="13.1640625" style="6" customWidth="1"/>
    <col min="4865" max="4865" width="79" style="6" customWidth="1"/>
    <col min="4866" max="4866" width="3.83203125" style="6" customWidth="1"/>
    <col min="4867" max="4879" width="12.5" style="6" customWidth="1"/>
    <col min="4880" max="4880" width="8.5" style="6" customWidth="1"/>
    <col min="4881" max="5119" width="10.6640625" style="6"/>
    <col min="5120" max="5120" width="13.1640625" style="6" customWidth="1"/>
    <col min="5121" max="5121" width="79" style="6" customWidth="1"/>
    <col min="5122" max="5122" width="3.83203125" style="6" customWidth="1"/>
    <col min="5123" max="5135" width="12.5" style="6" customWidth="1"/>
    <col min="5136" max="5136" width="8.5" style="6" customWidth="1"/>
    <col min="5137" max="5375" width="10.6640625" style="6"/>
    <col min="5376" max="5376" width="13.1640625" style="6" customWidth="1"/>
    <col min="5377" max="5377" width="79" style="6" customWidth="1"/>
    <col min="5378" max="5378" width="3.83203125" style="6" customWidth="1"/>
    <col min="5379" max="5391" width="12.5" style="6" customWidth="1"/>
    <col min="5392" max="5392" width="8.5" style="6" customWidth="1"/>
    <col min="5393" max="5631" width="10.6640625" style="6"/>
    <col min="5632" max="5632" width="13.1640625" style="6" customWidth="1"/>
    <col min="5633" max="5633" width="79" style="6" customWidth="1"/>
    <col min="5634" max="5634" width="3.83203125" style="6" customWidth="1"/>
    <col min="5635" max="5647" width="12.5" style="6" customWidth="1"/>
    <col min="5648" max="5648" width="8.5" style="6" customWidth="1"/>
    <col min="5649" max="5887" width="10.6640625" style="6"/>
    <col min="5888" max="5888" width="13.1640625" style="6" customWidth="1"/>
    <col min="5889" max="5889" width="79" style="6" customWidth="1"/>
    <col min="5890" max="5890" width="3.83203125" style="6" customWidth="1"/>
    <col min="5891" max="5903" width="12.5" style="6" customWidth="1"/>
    <col min="5904" max="5904" width="8.5" style="6" customWidth="1"/>
    <col min="5905" max="6143" width="10.6640625" style="6"/>
    <col min="6144" max="6144" width="13.1640625" style="6" customWidth="1"/>
    <col min="6145" max="6145" width="79" style="6" customWidth="1"/>
    <col min="6146" max="6146" width="3.83203125" style="6" customWidth="1"/>
    <col min="6147" max="6159" width="12.5" style="6" customWidth="1"/>
    <col min="6160" max="6160" width="8.5" style="6" customWidth="1"/>
    <col min="6161" max="6399" width="10.6640625" style="6"/>
    <col min="6400" max="6400" width="13.1640625" style="6" customWidth="1"/>
    <col min="6401" max="6401" width="79" style="6" customWidth="1"/>
    <col min="6402" max="6402" width="3.83203125" style="6" customWidth="1"/>
    <col min="6403" max="6415" width="12.5" style="6" customWidth="1"/>
    <col min="6416" max="6416" width="8.5" style="6" customWidth="1"/>
    <col min="6417" max="6655" width="10.6640625" style="6"/>
    <col min="6656" max="6656" width="13.1640625" style="6" customWidth="1"/>
    <col min="6657" max="6657" width="79" style="6" customWidth="1"/>
    <col min="6658" max="6658" width="3.83203125" style="6" customWidth="1"/>
    <col min="6659" max="6671" width="12.5" style="6" customWidth="1"/>
    <col min="6672" max="6672" width="8.5" style="6" customWidth="1"/>
    <col min="6673" max="6911" width="10.6640625" style="6"/>
    <col min="6912" max="6912" width="13.1640625" style="6" customWidth="1"/>
    <col min="6913" max="6913" width="79" style="6" customWidth="1"/>
    <col min="6914" max="6914" width="3.83203125" style="6" customWidth="1"/>
    <col min="6915" max="6927" width="12.5" style="6" customWidth="1"/>
    <col min="6928" max="6928" width="8.5" style="6" customWidth="1"/>
    <col min="6929" max="7167" width="10.6640625" style="6"/>
    <col min="7168" max="7168" width="13.1640625" style="6" customWidth="1"/>
    <col min="7169" max="7169" width="79" style="6" customWidth="1"/>
    <col min="7170" max="7170" width="3.83203125" style="6" customWidth="1"/>
    <col min="7171" max="7183" width="12.5" style="6" customWidth="1"/>
    <col min="7184" max="7184" width="8.5" style="6" customWidth="1"/>
    <col min="7185" max="7423" width="10.6640625" style="6"/>
    <col min="7424" max="7424" width="13.1640625" style="6" customWidth="1"/>
    <col min="7425" max="7425" width="79" style="6" customWidth="1"/>
    <col min="7426" max="7426" width="3.83203125" style="6" customWidth="1"/>
    <col min="7427" max="7439" width="12.5" style="6" customWidth="1"/>
    <col min="7440" max="7440" width="8.5" style="6" customWidth="1"/>
    <col min="7441" max="7679" width="10.6640625" style="6"/>
    <col min="7680" max="7680" width="13.1640625" style="6" customWidth="1"/>
    <col min="7681" max="7681" width="79" style="6" customWidth="1"/>
    <col min="7682" max="7682" width="3.83203125" style="6" customWidth="1"/>
    <col min="7683" max="7695" width="12.5" style="6" customWidth="1"/>
    <col min="7696" max="7696" width="8.5" style="6" customWidth="1"/>
    <col min="7697" max="7935" width="10.6640625" style="6"/>
    <col min="7936" max="7936" width="13.1640625" style="6" customWidth="1"/>
    <col min="7937" max="7937" width="79" style="6" customWidth="1"/>
    <col min="7938" max="7938" width="3.83203125" style="6" customWidth="1"/>
    <col min="7939" max="7951" width="12.5" style="6" customWidth="1"/>
    <col min="7952" max="7952" width="8.5" style="6" customWidth="1"/>
    <col min="7953" max="8191" width="10.6640625" style="6"/>
    <col min="8192" max="8192" width="13.1640625" style="6" customWidth="1"/>
    <col min="8193" max="8193" width="79" style="6" customWidth="1"/>
    <col min="8194" max="8194" width="3.83203125" style="6" customWidth="1"/>
    <col min="8195" max="8207" width="12.5" style="6" customWidth="1"/>
    <col min="8208" max="8208" width="8.5" style="6" customWidth="1"/>
    <col min="8209" max="8447" width="10.6640625" style="6"/>
    <col min="8448" max="8448" width="13.1640625" style="6" customWidth="1"/>
    <col min="8449" max="8449" width="79" style="6" customWidth="1"/>
    <col min="8450" max="8450" width="3.83203125" style="6" customWidth="1"/>
    <col min="8451" max="8463" width="12.5" style="6" customWidth="1"/>
    <col min="8464" max="8464" width="8.5" style="6" customWidth="1"/>
    <col min="8465" max="8703" width="10.6640625" style="6"/>
    <col min="8704" max="8704" width="13.1640625" style="6" customWidth="1"/>
    <col min="8705" max="8705" width="79" style="6" customWidth="1"/>
    <col min="8706" max="8706" width="3.83203125" style="6" customWidth="1"/>
    <col min="8707" max="8719" width="12.5" style="6" customWidth="1"/>
    <col min="8720" max="8720" width="8.5" style="6" customWidth="1"/>
    <col min="8721" max="8959" width="10.6640625" style="6"/>
    <col min="8960" max="8960" width="13.1640625" style="6" customWidth="1"/>
    <col min="8961" max="8961" width="79" style="6" customWidth="1"/>
    <col min="8962" max="8962" width="3.83203125" style="6" customWidth="1"/>
    <col min="8963" max="8975" width="12.5" style="6" customWidth="1"/>
    <col min="8976" max="8976" width="8.5" style="6" customWidth="1"/>
    <col min="8977" max="9215" width="10.6640625" style="6"/>
    <col min="9216" max="9216" width="13.1640625" style="6" customWidth="1"/>
    <col min="9217" max="9217" width="79" style="6" customWidth="1"/>
    <col min="9218" max="9218" width="3.83203125" style="6" customWidth="1"/>
    <col min="9219" max="9231" width="12.5" style="6" customWidth="1"/>
    <col min="9232" max="9232" width="8.5" style="6" customWidth="1"/>
    <col min="9233" max="9471" width="10.6640625" style="6"/>
    <col min="9472" max="9472" width="13.1640625" style="6" customWidth="1"/>
    <col min="9473" max="9473" width="79" style="6" customWidth="1"/>
    <col min="9474" max="9474" width="3.83203125" style="6" customWidth="1"/>
    <col min="9475" max="9487" width="12.5" style="6" customWidth="1"/>
    <col min="9488" max="9488" width="8.5" style="6" customWidth="1"/>
    <col min="9489" max="9727" width="10.6640625" style="6"/>
    <col min="9728" max="9728" width="13.1640625" style="6" customWidth="1"/>
    <col min="9729" max="9729" width="79" style="6" customWidth="1"/>
    <col min="9730" max="9730" width="3.83203125" style="6" customWidth="1"/>
    <col min="9731" max="9743" width="12.5" style="6" customWidth="1"/>
    <col min="9744" max="9744" width="8.5" style="6" customWidth="1"/>
    <col min="9745" max="9983" width="10.6640625" style="6"/>
    <col min="9984" max="9984" width="13.1640625" style="6" customWidth="1"/>
    <col min="9985" max="9985" width="79" style="6" customWidth="1"/>
    <col min="9986" max="9986" width="3.83203125" style="6" customWidth="1"/>
    <col min="9987" max="9999" width="12.5" style="6" customWidth="1"/>
    <col min="10000" max="10000" width="8.5" style="6" customWidth="1"/>
    <col min="10001" max="10239" width="10.6640625" style="6"/>
    <col min="10240" max="10240" width="13.1640625" style="6" customWidth="1"/>
    <col min="10241" max="10241" width="79" style="6" customWidth="1"/>
    <col min="10242" max="10242" width="3.83203125" style="6" customWidth="1"/>
    <col min="10243" max="10255" width="12.5" style="6" customWidth="1"/>
    <col min="10256" max="10256" width="8.5" style="6" customWidth="1"/>
    <col min="10257" max="10495" width="10.6640625" style="6"/>
    <col min="10496" max="10496" width="13.1640625" style="6" customWidth="1"/>
    <col min="10497" max="10497" width="79" style="6" customWidth="1"/>
    <col min="10498" max="10498" width="3.83203125" style="6" customWidth="1"/>
    <col min="10499" max="10511" width="12.5" style="6" customWidth="1"/>
    <col min="10512" max="10512" width="8.5" style="6" customWidth="1"/>
    <col min="10513" max="10751" width="10.6640625" style="6"/>
    <col min="10752" max="10752" width="13.1640625" style="6" customWidth="1"/>
    <col min="10753" max="10753" width="79" style="6" customWidth="1"/>
    <col min="10754" max="10754" width="3.83203125" style="6" customWidth="1"/>
    <col min="10755" max="10767" width="12.5" style="6" customWidth="1"/>
    <col min="10768" max="10768" width="8.5" style="6" customWidth="1"/>
    <col min="10769" max="11007" width="10.6640625" style="6"/>
    <col min="11008" max="11008" width="13.1640625" style="6" customWidth="1"/>
    <col min="11009" max="11009" width="79" style="6" customWidth="1"/>
    <col min="11010" max="11010" width="3.83203125" style="6" customWidth="1"/>
    <col min="11011" max="11023" width="12.5" style="6" customWidth="1"/>
    <col min="11024" max="11024" width="8.5" style="6" customWidth="1"/>
    <col min="11025" max="11263" width="10.6640625" style="6"/>
    <col min="11264" max="11264" width="13.1640625" style="6" customWidth="1"/>
    <col min="11265" max="11265" width="79" style="6" customWidth="1"/>
    <col min="11266" max="11266" width="3.83203125" style="6" customWidth="1"/>
    <col min="11267" max="11279" width="12.5" style="6" customWidth="1"/>
    <col min="11280" max="11280" width="8.5" style="6" customWidth="1"/>
    <col min="11281" max="11519" width="10.6640625" style="6"/>
    <col min="11520" max="11520" width="13.1640625" style="6" customWidth="1"/>
    <col min="11521" max="11521" width="79" style="6" customWidth="1"/>
    <col min="11522" max="11522" width="3.83203125" style="6" customWidth="1"/>
    <col min="11523" max="11535" width="12.5" style="6" customWidth="1"/>
    <col min="11536" max="11536" width="8.5" style="6" customWidth="1"/>
    <col min="11537" max="11775" width="10.6640625" style="6"/>
    <col min="11776" max="11776" width="13.1640625" style="6" customWidth="1"/>
    <col min="11777" max="11777" width="79" style="6" customWidth="1"/>
    <col min="11778" max="11778" width="3.83203125" style="6" customWidth="1"/>
    <col min="11779" max="11791" width="12.5" style="6" customWidth="1"/>
    <col min="11792" max="11792" width="8.5" style="6" customWidth="1"/>
    <col min="11793" max="12031" width="10.6640625" style="6"/>
    <col min="12032" max="12032" width="13.1640625" style="6" customWidth="1"/>
    <col min="12033" max="12033" width="79" style="6" customWidth="1"/>
    <col min="12034" max="12034" width="3.83203125" style="6" customWidth="1"/>
    <col min="12035" max="12047" width="12.5" style="6" customWidth="1"/>
    <col min="12048" max="12048" width="8.5" style="6" customWidth="1"/>
    <col min="12049" max="12287" width="10.6640625" style="6"/>
    <col min="12288" max="12288" width="13.1640625" style="6" customWidth="1"/>
    <col min="12289" max="12289" width="79" style="6" customWidth="1"/>
    <col min="12290" max="12290" width="3.83203125" style="6" customWidth="1"/>
    <col min="12291" max="12303" width="12.5" style="6" customWidth="1"/>
    <col min="12304" max="12304" width="8.5" style="6" customWidth="1"/>
    <col min="12305" max="12543" width="10.6640625" style="6"/>
    <col min="12544" max="12544" width="13.1640625" style="6" customWidth="1"/>
    <col min="12545" max="12545" width="79" style="6" customWidth="1"/>
    <col min="12546" max="12546" width="3.83203125" style="6" customWidth="1"/>
    <col min="12547" max="12559" width="12.5" style="6" customWidth="1"/>
    <col min="12560" max="12560" width="8.5" style="6" customWidth="1"/>
    <col min="12561" max="12799" width="10.6640625" style="6"/>
    <col min="12800" max="12800" width="13.1640625" style="6" customWidth="1"/>
    <col min="12801" max="12801" width="79" style="6" customWidth="1"/>
    <col min="12802" max="12802" width="3.83203125" style="6" customWidth="1"/>
    <col min="12803" max="12815" width="12.5" style="6" customWidth="1"/>
    <col min="12816" max="12816" width="8.5" style="6" customWidth="1"/>
    <col min="12817" max="13055" width="10.6640625" style="6"/>
    <col min="13056" max="13056" width="13.1640625" style="6" customWidth="1"/>
    <col min="13057" max="13057" width="79" style="6" customWidth="1"/>
    <col min="13058" max="13058" width="3.83203125" style="6" customWidth="1"/>
    <col min="13059" max="13071" width="12.5" style="6" customWidth="1"/>
    <col min="13072" max="13072" width="8.5" style="6" customWidth="1"/>
    <col min="13073" max="13311" width="10.6640625" style="6"/>
    <col min="13312" max="13312" width="13.1640625" style="6" customWidth="1"/>
    <col min="13313" max="13313" width="79" style="6" customWidth="1"/>
    <col min="13314" max="13314" width="3.83203125" style="6" customWidth="1"/>
    <col min="13315" max="13327" width="12.5" style="6" customWidth="1"/>
    <col min="13328" max="13328" width="8.5" style="6" customWidth="1"/>
    <col min="13329" max="13567" width="10.6640625" style="6"/>
    <col min="13568" max="13568" width="13.1640625" style="6" customWidth="1"/>
    <col min="13569" max="13569" width="79" style="6" customWidth="1"/>
    <col min="13570" max="13570" width="3.83203125" style="6" customWidth="1"/>
    <col min="13571" max="13583" width="12.5" style="6" customWidth="1"/>
    <col min="13584" max="13584" width="8.5" style="6" customWidth="1"/>
    <col min="13585" max="13823" width="10.6640625" style="6"/>
    <col min="13824" max="13824" width="13.1640625" style="6" customWidth="1"/>
    <col min="13825" max="13825" width="79" style="6" customWidth="1"/>
    <col min="13826" max="13826" width="3.83203125" style="6" customWidth="1"/>
    <col min="13827" max="13839" width="12.5" style="6" customWidth="1"/>
    <col min="13840" max="13840" width="8.5" style="6" customWidth="1"/>
    <col min="13841" max="14079" width="10.6640625" style="6"/>
    <col min="14080" max="14080" width="13.1640625" style="6" customWidth="1"/>
    <col min="14081" max="14081" width="79" style="6" customWidth="1"/>
    <col min="14082" max="14082" width="3.83203125" style="6" customWidth="1"/>
    <col min="14083" max="14095" width="12.5" style="6" customWidth="1"/>
    <col min="14096" max="14096" width="8.5" style="6" customWidth="1"/>
    <col min="14097" max="14335" width="10.6640625" style="6"/>
    <col min="14336" max="14336" width="13.1640625" style="6" customWidth="1"/>
    <col min="14337" max="14337" width="79" style="6" customWidth="1"/>
    <col min="14338" max="14338" width="3.83203125" style="6" customWidth="1"/>
    <col min="14339" max="14351" width="12.5" style="6" customWidth="1"/>
    <col min="14352" max="14352" width="8.5" style="6" customWidth="1"/>
    <col min="14353" max="14591" width="10.6640625" style="6"/>
    <col min="14592" max="14592" width="13.1640625" style="6" customWidth="1"/>
    <col min="14593" max="14593" width="79" style="6" customWidth="1"/>
    <col min="14594" max="14594" width="3.83203125" style="6" customWidth="1"/>
    <col min="14595" max="14607" width="12.5" style="6" customWidth="1"/>
    <col min="14608" max="14608" width="8.5" style="6" customWidth="1"/>
    <col min="14609" max="14847" width="10.6640625" style="6"/>
    <col min="14848" max="14848" width="13.1640625" style="6" customWidth="1"/>
    <col min="14849" max="14849" width="79" style="6" customWidth="1"/>
    <col min="14850" max="14850" width="3.83203125" style="6" customWidth="1"/>
    <col min="14851" max="14863" width="12.5" style="6" customWidth="1"/>
    <col min="14864" max="14864" width="8.5" style="6" customWidth="1"/>
    <col min="14865" max="15103" width="10.6640625" style="6"/>
    <col min="15104" max="15104" width="13.1640625" style="6" customWidth="1"/>
    <col min="15105" max="15105" width="79" style="6" customWidth="1"/>
    <col min="15106" max="15106" width="3.83203125" style="6" customWidth="1"/>
    <col min="15107" max="15119" width="12.5" style="6" customWidth="1"/>
    <col min="15120" max="15120" width="8.5" style="6" customWidth="1"/>
    <col min="15121" max="15359" width="10.6640625" style="6"/>
    <col min="15360" max="15360" width="13.1640625" style="6" customWidth="1"/>
    <col min="15361" max="15361" width="79" style="6" customWidth="1"/>
    <col min="15362" max="15362" width="3.83203125" style="6" customWidth="1"/>
    <col min="15363" max="15375" width="12.5" style="6" customWidth="1"/>
    <col min="15376" max="15376" width="8.5" style="6" customWidth="1"/>
    <col min="15377" max="15615" width="10.6640625" style="6"/>
    <col min="15616" max="15616" width="13.1640625" style="6" customWidth="1"/>
    <col min="15617" max="15617" width="79" style="6" customWidth="1"/>
    <col min="15618" max="15618" width="3.83203125" style="6" customWidth="1"/>
    <col min="15619" max="15631" width="12.5" style="6" customWidth="1"/>
    <col min="15632" max="15632" width="8.5" style="6" customWidth="1"/>
    <col min="15633" max="15871" width="10.6640625" style="6"/>
    <col min="15872" max="15872" width="13.1640625" style="6" customWidth="1"/>
    <col min="15873" max="15873" width="79" style="6" customWidth="1"/>
    <col min="15874" max="15874" width="3.83203125" style="6" customWidth="1"/>
    <col min="15875" max="15887" width="12.5" style="6" customWidth="1"/>
    <col min="15888" max="15888" width="8.5" style="6" customWidth="1"/>
    <col min="15889" max="16127" width="10.6640625" style="6"/>
    <col min="16128" max="16128" width="13.1640625" style="6" customWidth="1"/>
    <col min="16129" max="16129" width="79" style="6" customWidth="1"/>
    <col min="16130" max="16130" width="3.83203125" style="6" customWidth="1"/>
    <col min="16131" max="16143" width="12.5" style="6" customWidth="1"/>
    <col min="16144" max="16144" width="8.5" style="6" customWidth="1"/>
    <col min="16145" max="16384" width="10.6640625" style="6"/>
  </cols>
  <sheetData>
    <row r="1" spans="1:19" ht="13.5" thickBot="1" x14ac:dyDescent="0.25">
      <c r="A1" s="551" t="s">
        <v>35</v>
      </c>
      <c r="B1" s="550">
        <v>3</v>
      </c>
      <c r="C1" s="549"/>
      <c r="D1" s="548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</row>
    <row r="2" spans="1:19" ht="13.5" thickTop="1" x14ac:dyDescent="0.2">
      <c r="A2" s="547" t="str">
        <f t="shared" ref="A2:A12" si="0">CONCATENATE($B$1,"|",B2)</f>
        <v>3|1</v>
      </c>
      <c r="B2" s="539">
        <v>1</v>
      </c>
      <c r="C2" s="534" t="s">
        <v>158</v>
      </c>
      <c r="D2" s="533">
        <v>1</v>
      </c>
      <c r="E2" s="537">
        <v>50</v>
      </c>
      <c r="F2" s="537">
        <v>50</v>
      </c>
      <c r="G2" s="537"/>
      <c r="H2" s="537"/>
      <c r="I2" s="537"/>
      <c r="J2" s="538"/>
      <c r="K2" s="538"/>
      <c r="L2" s="538"/>
      <c r="M2" s="538"/>
      <c r="N2" s="538"/>
      <c r="O2" s="538"/>
      <c r="P2" s="538"/>
      <c r="S2" s="6">
        <f t="shared" ref="S2:S12" si="1">SUM(E2:P2)</f>
        <v>100</v>
      </c>
    </row>
    <row r="3" spans="1:19" x14ac:dyDescent="0.2">
      <c r="A3" s="536" t="str">
        <f t="shared" si="0"/>
        <v>3|2</v>
      </c>
      <c r="B3" s="535" t="s">
        <v>90</v>
      </c>
      <c r="C3" s="534" t="s">
        <v>154</v>
      </c>
      <c r="D3" s="533">
        <v>2</v>
      </c>
      <c r="E3" s="537">
        <v>50</v>
      </c>
      <c r="F3" s="537">
        <v>50</v>
      </c>
      <c r="G3" s="537"/>
      <c r="H3" s="537"/>
      <c r="I3" s="537"/>
      <c r="J3" s="531"/>
      <c r="K3" s="531"/>
      <c r="L3" s="531"/>
      <c r="M3" s="531"/>
      <c r="N3" s="531"/>
      <c r="O3" s="531"/>
      <c r="P3" s="531"/>
      <c r="S3" s="6">
        <f t="shared" si="1"/>
        <v>100</v>
      </c>
    </row>
    <row r="4" spans="1:19" x14ac:dyDescent="0.2">
      <c r="A4" s="536" t="str">
        <f t="shared" si="0"/>
        <v>3|3</v>
      </c>
      <c r="B4" s="535" t="s">
        <v>95</v>
      </c>
      <c r="C4" s="534" t="s">
        <v>159</v>
      </c>
      <c r="D4" s="533">
        <v>3</v>
      </c>
      <c r="E4" s="532">
        <v>25</v>
      </c>
      <c r="F4" s="532">
        <v>60</v>
      </c>
      <c r="G4" s="532">
        <v>15</v>
      </c>
      <c r="H4" s="532"/>
      <c r="I4" s="532"/>
      <c r="J4" s="531"/>
      <c r="K4" s="531"/>
      <c r="L4" s="531"/>
      <c r="M4" s="531"/>
      <c r="N4" s="531"/>
      <c r="O4" s="531"/>
      <c r="P4" s="531"/>
      <c r="S4" s="6">
        <f t="shared" si="1"/>
        <v>100</v>
      </c>
    </row>
    <row r="5" spans="1:19" x14ac:dyDescent="0.2">
      <c r="A5" s="536" t="str">
        <f t="shared" si="0"/>
        <v>3|4</v>
      </c>
      <c r="B5" s="535" t="s">
        <v>97</v>
      </c>
      <c r="C5" s="534" t="s">
        <v>155</v>
      </c>
      <c r="D5" s="533">
        <v>4</v>
      </c>
      <c r="E5" s="532"/>
      <c r="F5" s="532">
        <v>50</v>
      </c>
      <c r="G5" s="532">
        <v>50</v>
      </c>
      <c r="H5" s="532"/>
      <c r="I5" s="532"/>
      <c r="J5" s="531"/>
      <c r="K5" s="531"/>
      <c r="L5" s="531"/>
      <c r="M5" s="531"/>
      <c r="N5" s="531"/>
      <c r="O5" s="531"/>
      <c r="P5" s="531"/>
      <c r="S5" s="6">
        <f t="shared" si="1"/>
        <v>100</v>
      </c>
    </row>
    <row r="6" spans="1:19" x14ac:dyDescent="0.2">
      <c r="A6" s="536" t="str">
        <f t="shared" si="0"/>
        <v>3|5</v>
      </c>
      <c r="B6" s="535" t="s">
        <v>89</v>
      </c>
      <c r="C6" s="534" t="s">
        <v>156</v>
      </c>
      <c r="D6" s="533">
        <v>5</v>
      </c>
      <c r="E6" s="532">
        <v>20</v>
      </c>
      <c r="F6" s="532">
        <v>50</v>
      </c>
      <c r="G6" s="532">
        <v>30</v>
      </c>
      <c r="H6" s="532"/>
      <c r="I6" s="532"/>
      <c r="J6" s="531"/>
      <c r="K6" s="531"/>
      <c r="L6" s="531"/>
      <c r="M6" s="531"/>
      <c r="N6" s="531"/>
      <c r="O6" s="531"/>
      <c r="P6" s="531"/>
      <c r="S6" s="6">
        <f t="shared" si="1"/>
        <v>100</v>
      </c>
    </row>
    <row r="7" spans="1:19" x14ac:dyDescent="0.2">
      <c r="A7" s="536" t="str">
        <f t="shared" si="0"/>
        <v>3|6</v>
      </c>
      <c r="B7" s="535" t="s">
        <v>98</v>
      </c>
      <c r="C7" s="534" t="s">
        <v>160</v>
      </c>
      <c r="D7" s="533">
        <v>3</v>
      </c>
      <c r="E7" s="532"/>
      <c r="F7" s="532">
        <v>50</v>
      </c>
      <c r="G7" s="532">
        <v>50</v>
      </c>
      <c r="H7" s="532"/>
      <c r="I7" s="532"/>
      <c r="J7" s="531"/>
      <c r="K7" s="531"/>
      <c r="L7" s="531"/>
      <c r="M7" s="531"/>
      <c r="N7" s="531"/>
      <c r="O7" s="531"/>
      <c r="P7" s="531"/>
      <c r="S7" s="6">
        <f t="shared" si="1"/>
        <v>100</v>
      </c>
    </row>
    <row r="8" spans="1:19" x14ac:dyDescent="0.2">
      <c r="A8" s="536" t="str">
        <f t="shared" si="0"/>
        <v>3|7</v>
      </c>
      <c r="B8" s="535" t="s">
        <v>153</v>
      </c>
      <c r="C8" s="534" t="s">
        <v>161</v>
      </c>
      <c r="D8" s="533">
        <v>5</v>
      </c>
      <c r="E8" s="532"/>
      <c r="F8" s="532">
        <v>20</v>
      </c>
      <c r="G8" s="532">
        <v>80</v>
      </c>
      <c r="H8" s="532"/>
      <c r="I8" s="532"/>
      <c r="J8" s="531"/>
      <c r="K8" s="531"/>
      <c r="L8" s="531"/>
      <c r="M8" s="531"/>
      <c r="N8" s="531"/>
      <c r="O8" s="531"/>
      <c r="P8" s="531"/>
      <c r="S8" s="6">
        <f t="shared" si="1"/>
        <v>100</v>
      </c>
    </row>
    <row r="9" spans="1:19" x14ac:dyDescent="0.2">
      <c r="A9" s="536" t="str">
        <f t="shared" si="0"/>
        <v>3|8</v>
      </c>
      <c r="B9" s="535" t="s">
        <v>110</v>
      </c>
      <c r="C9" s="534" t="s">
        <v>162</v>
      </c>
      <c r="D9" s="533">
        <v>6</v>
      </c>
      <c r="E9" s="532"/>
      <c r="F9" s="532">
        <v>50</v>
      </c>
      <c r="G9" s="532">
        <v>50</v>
      </c>
      <c r="H9" s="532"/>
      <c r="I9" s="532"/>
      <c r="J9" s="531"/>
      <c r="K9" s="531"/>
      <c r="L9" s="531"/>
      <c r="M9" s="531"/>
      <c r="N9" s="531"/>
      <c r="O9" s="531"/>
      <c r="P9" s="531"/>
      <c r="S9" s="6">
        <f t="shared" si="1"/>
        <v>100</v>
      </c>
    </row>
    <row r="10" spans="1:19" x14ac:dyDescent="0.2">
      <c r="A10" s="536" t="str">
        <f t="shared" si="0"/>
        <v>3|9</v>
      </c>
      <c r="B10" s="535" t="s">
        <v>163</v>
      </c>
      <c r="C10" s="534" t="s">
        <v>164</v>
      </c>
      <c r="D10" s="533">
        <v>6</v>
      </c>
      <c r="E10" s="532">
        <v>30</v>
      </c>
      <c r="F10" s="532">
        <v>40</v>
      </c>
      <c r="G10" s="532">
        <v>30</v>
      </c>
      <c r="H10" s="532"/>
      <c r="I10" s="532"/>
      <c r="J10" s="531"/>
      <c r="K10" s="531"/>
      <c r="L10" s="531"/>
      <c r="M10" s="531"/>
      <c r="N10" s="531"/>
      <c r="O10" s="531"/>
      <c r="P10" s="531"/>
      <c r="S10" s="6">
        <f t="shared" si="1"/>
        <v>100</v>
      </c>
    </row>
    <row r="11" spans="1:19" x14ac:dyDescent="0.2">
      <c r="A11" s="536" t="str">
        <f t="shared" si="0"/>
        <v>3|10</v>
      </c>
      <c r="B11" s="535" t="s">
        <v>165</v>
      </c>
      <c r="C11" s="534" t="s">
        <v>157</v>
      </c>
      <c r="D11" s="533"/>
      <c r="E11" s="532">
        <v>60</v>
      </c>
      <c r="F11" s="532">
        <v>40</v>
      </c>
      <c r="G11" s="532"/>
      <c r="H11" s="532"/>
      <c r="I11" s="532"/>
      <c r="J11" s="531"/>
      <c r="K11" s="531"/>
      <c r="L11" s="531"/>
      <c r="M11" s="531"/>
      <c r="N11" s="531"/>
      <c r="O11" s="531"/>
      <c r="P11" s="531"/>
      <c r="S11" s="6">
        <f t="shared" si="1"/>
        <v>100</v>
      </c>
    </row>
    <row r="12" spans="1:19" x14ac:dyDescent="0.2">
      <c r="A12" s="536" t="str">
        <f t="shared" si="0"/>
        <v>3|11</v>
      </c>
      <c r="B12" s="535" t="s">
        <v>172</v>
      </c>
      <c r="C12" s="534" t="s">
        <v>189</v>
      </c>
      <c r="D12" s="533"/>
      <c r="E12" s="532">
        <v>15</v>
      </c>
      <c r="F12" s="532">
        <v>60</v>
      </c>
      <c r="G12" s="532">
        <v>25</v>
      </c>
      <c r="H12" s="532"/>
      <c r="I12" s="532"/>
      <c r="J12" s="531"/>
      <c r="K12" s="531"/>
      <c r="L12" s="531"/>
      <c r="M12" s="531"/>
      <c r="N12" s="531"/>
      <c r="O12" s="531"/>
      <c r="P12" s="531"/>
      <c r="S12" s="6">
        <f t="shared" si="1"/>
        <v>100</v>
      </c>
    </row>
    <row r="13" spans="1:19" ht="5.45" customHeight="1" x14ac:dyDescent="0.2"/>
    <row r="14" spans="1:19" ht="13.5" thickBot="1" x14ac:dyDescent="0.25">
      <c r="A14" s="545" t="s">
        <v>35</v>
      </c>
      <c r="B14" s="544">
        <v>4</v>
      </c>
      <c r="C14" s="543"/>
      <c r="D14" s="542"/>
      <c r="E14" s="541"/>
      <c r="F14" s="541"/>
      <c r="G14" s="541"/>
      <c r="H14" s="541"/>
      <c r="I14" s="541"/>
      <c r="J14" s="541"/>
      <c r="K14" s="541"/>
      <c r="L14" s="541"/>
      <c r="M14" s="541"/>
      <c r="N14" s="541"/>
      <c r="O14" s="541"/>
      <c r="P14" s="541"/>
    </row>
    <row r="15" spans="1:19" ht="13.5" thickTop="1" x14ac:dyDescent="0.2">
      <c r="A15" s="540" t="str">
        <f t="shared" ref="A15:A25" si="2">CONCATENATE($B$14,"|",B15)</f>
        <v>4|1</v>
      </c>
      <c r="B15" s="539">
        <v>1</v>
      </c>
      <c r="C15" s="534" t="s">
        <v>158</v>
      </c>
      <c r="D15" s="533">
        <v>1</v>
      </c>
      <c r="E15" s="537">
        <v>45</v>
      </c>
      <c r="F15" s="537">
        <v>45</v>
      </c>
      <c r="G15" s="537">
        <v>10</v>
      </c>
      <c r="H15" s="537"/>
      <c r="I15" s="537"/>
      <c r="J15" s="538"/>
      <c r="K15" s="538"/>
      <c r="L15" s="538"/>
      <c r="M15" s="538"/>
      <c r="N15" s="538"/>
      <c r="O15" s="538"/>
      <c r="P15" s="538"/>
      <c r="S15" s="6">
        <f t="shared" ref="S15:S25" si="3">SUM(E15:P15)</f>
        <v>100</v>
      </c>
    </row>
    <row r="16" spans="1:19" x14ac:dyDescent="0.2">
      <c r="A16" s="536" t="str">
        <f t="shared" si="2"/>
        <v>4|2</v>
      </c>
      <c r="B16" s="535" t="s">
        <v>90</v>
      </c>
      <c r="C16" s="534" t="s">
        <v>154</v>
      </c>
      <c r="D16" s="533">
        <v>2</v>
      </c>
      <c r="E16" s="537">
        <v>40</v>
      </c>
      <c r="F16" s="537">
        <v>40</v>
      </c>
      <c r="G16" s="537">
        <v>20</v>
      </c>
      <c r="H16" s="537"/>
      <c r="I16" s="537"/>
      <c r="J16" s="531"/>
      <c r="K16" s="531"/>
      <c r="L16" s="531"/>
      <c r="M16" s="531"/>
      <c r="N16" s="531"/>
      <c r="O16" s="531"/>
      <c r="P16" s="531"/>
      <c r="S16" s="6">
        <f t="shared" si="3"/>
        <v>100</v>
      </c>
    </row>
    <row r="17" spans="1:19" x14ac:dyDescent="0.2">
      <c r="A17" s="536" t="str">
        <f t="shared" si="2"/>
        <v>4|3</v>
      </c>
      <c r="B17" s="535" t="s">
        <v>95</v>
      </c>
      <c r="C17" s="534" t="s">
        <v>159</v>
      </c>
      <c r="D17" s="533">
        <v>3</v>
      </c>
      <c r="E17" s="532">
        <v>20</v>
      </c>
      <c r="F17" s="532">
        <v>35</v>
      </c>
      <c r="G17" s="532">
        <v>35</v>
      </c>
      <c r="H17" s="532">
        <v>10</v>
      </c>
      <c r="I17" s="532"/>
      <c r="J17" s="531"/>
      <c r="K17" s="531"/>
      <c r="L17" s="531"/>
      <c r="M17" s="531"/>
      <c r="N17" s="531"/>
      <c r="O17" s="531"/>
      <c r="P17" s="531"/>
      <c r="S17" s="6">
        <f t="shared" si="3"/>
        <v>100</v>
      </c>
    </row>
    <row r="18" spans="1:19" x14ac:dyDescent="0.2">
      <c r="A18" s="536" t="str">
        <f t="shared" si="2"/>
        <v>4|4</v>
      </c>
      <c r="B18" s="535" t="s">
        <v>97</v>
      </c>
      <c r="C18" s="534" t="s">
        <v>155</v>
      </c>
      <c r="D18" s="533">
        <v>4</v>
      </c>
      <c r="E18" s="532"/>
      <c r="F18" s="532">
        <v>35</v>
      </c>
      <c r="G18" s="532">
        <v>35</v>
      </c>
      <c r="H18" s="532">
        <v>30</v>
      </c>
      <c r="I18" s="532"/>
      <c r="J18" s="531"/>
      <c r="K18" s="531"/>
      <c r="L18" s="531"/>
      <c r="M18" s="531"/>
      <c r="N18" s="531"/>
      <c r="O18" s="531"/>
      <c r="P18" s="531"/>
      <c r="S18" s="6">
        <f t="shared" si="3"/>
        <v>100</v>
      </c>
    </row>
    <row r="19" spans="1:19" x14ac:dyDescent="0.2">
      <c r="A19" s="536" t="str">
        <f t="shared" si="2"/>
        <v>4|5</v>
      </c>
      <c r="B19" s="535" t="s">
        <v>89</v>
      </c>
      <c r="C19" s="534" t="s">
        <v>156</v>
      </c>
      <c r="D19" s="533">
        <v>5</v>
      </c>
      <c r="E19" s="532">
        <v>10</v>
      </c>
      <c r="F19" s="532">
        <v>35</v>
      </c>
      <c r="G19" s="532">
        <v>35</v>
      </c>
      <c r="H19" s="532">
        <v>20</v>
      </c>
      <c r="I19" s="532"/>
      <c r="J19" s="531"/>
      <c r="K19" s="531"/>
      <c r="L19" s="531"/>
      <c r="M19" s="531"/>
      <c r="N19" s="531"/>
      <c r="O19" s="531"/>
      <c r="P19" s="531"/>
      <c r="S19" s="6">
        <f t="shared" si="3"/>
        <v>100</v>
      </c>
    </row>
    <row r="20" spans="1:19" x14ac:dyDescent="0.2">
      <c r="A20" s="536" t="str">
        <f t="shared" si="2"/>
        <v>4|6</v>
      </c>
      <c r="B20" s="535" t="s">
        <v>98</v>
      </c>
      <c r="C20" s="534" t="s">
        <v>160</v>
      </c>
      <c r="D20" s="533">
        <v>3</v>
      </c>
      <c r="E20" s="532"/>
      <c r="F20" s="532">
        <v>35</v>
      </c>
      <c r="G20" s="532">
        <v>35</v>
      </c>
      <c r="H20" s="532">
        <v>30</v>
      </c>
      <c r="I20" s="532"/>
      <c r="J20" s="531"/>
      <c r="K20" s="531"/>
      <c r="L20" s="531"/>
      <c r="M20" s="531"/>
      <c r="N20" s="531"/>
      <c r="O20" s="531"/>
      <c r="P20" s="531"/>
      <c r="S20" s="6">
        <f t="shared" si="3"/>
        <v>100</v>
      </c>
    </row>
    <row r="21" spans="1:19" x14ac:dyDescent="0.2">
      <c r="A21" s="536" t="str">
        <f t="shared" si="2"/>
        <v>4|7</v>
      </c>
      <c r="B21" s="535" t="s">
        <v>153</v>
      </c>
      <c r="C21" s="534" t="s">
        <v>161</v>
      </c>
      <c r="D21" s="533">
        <v>5</v>
      </c>
      <c r="E21" s="532"/>
      <c r="F21" s="532">
        <v>15</v>
      </c>
      <c r="G21" s="532">
        <v>60</v>
      </c>
      <c r="H21" s="532">
        <v>25</v>
      </c>
      <c r="I21" s="532"/>
      <c r="J21" s="531"/>
      <c r="K21" s="531"/>
      <c r="L21" s="531"/>
      <c r="M21" s="531"/>
      <c r="N21" s="531"/>
      <c r="O21" s="531"/>
      <c r="P21" s="531"/>
      <c r="S21" s="6">
        <f t="shared" si="3"/>
        <v>100</v>
      </c>
    </row>
    <row r="22" spans="1:19" x14ac:dyDescent="0.2">
      <c r="A22" s="536" t="str">
        <f t="shared" si="2"/>
        <v>4|8</v>
      </c>
      <c r="B22" s="535" t="s">
        <v>110</v>
      </c>
      <c r="C22" s="534" t="s">
        <v>162</v>
      </c>
      <c r="D22" s="533">
        <v>6</v>
      </c>
      <c r="E22" s="532"/>
      <c r="F22" s="532">
        <v>30</v>
      </c>
      <c r="G22" s="532">
        <v>40</v>
      </c>
      <c r="H22" s="532">
        <v>30</v>
      </c>
      <c r="I22" s="532"/>
      <c r="J22" s="531"/>
      <c r="K22" s="531"/>
      <c r="L22" s="531"/>
      <c r="M22" s="531"/>
      <c r="N22" s="531"/>
      <c r="O22" s="531"/>
      <c r="P22" s="531"/>
      <c r="S22" s="6">
        <f t="shared" si="3"/>
        <v>100</v>
      </c>
    </row>
    <row r="23" spans="1:19" x14ac:dyDescent="0.2">
      <c r="A23" s="536" t="str">
        <f t="shared" si="2"/>
        <v>4|9</v>
      </c>
      <c r="B23" s="535" t="s">
        <v>163</v>
      </c>
      <c r="C23" s="534" t="s">
        <v>164</v>
      </c>
      <c r="D23" s="533">
        <v>6</v>
      </c>
      <c r="E23" s="532">
        <v>10</v>
      </c>
      <c r="F23" s="532">
        <v>35</v>
      </c>
      <c r="G23" s="532">
        <v>35</v>
      </c>
      <c r="H23" s="532">
        <v>20</v>
      </c>
      <c r="I23" s="532"/>
      <c r="J23" s="531"/>
      <c r="K23" s="531"/>
      <c r="L23" s="531"/>
      <c r="M23" s="531"/>
      <c r="N23" s="531"/>
      <c r="O23" s="531"/>
      <c r="P23" s="531"/>
      <c r="S23" s="6">
        <f t="shared" si="3"/>
        <v>100</v>
      </c>
    </row>
    <row r="24" spans="1:19" x14ac:dyDescent="0.2">
      <c r="A24" s="536" t="str">
        <f t="shared" si="2"/>
        <v>4|10</v>
      </c>
      <c r="B24" s="535" t="s">
        <v>165</v>
      </c>
      <c r="C24" s="534" t="s">
        <v>157</v>
      </c>
      <c r="D24" s="533"/>
      <c r="E24" s="532">
        <v>40</v>
      </c>
      <c r="F24" s="532">
        <v>40</v>
      </c>
      <c r="G24" s="532">
        <v>20</v>
      </c>
      <c r="H24" s="532"/>
      <c r="I24" s="532"/>
      <c r="J24" s="531"/>
      <c r="K24" s="531"/>
      <c r="L24" s="531"/>
      <c r="M24" s="531"/>
      <c r="N24" s="531"/>
      <c r="O24" s="531"/>
      <c r="P24" s="531"/>
      <c r="S24" s="6">
        <f t="shared" si="3"/>
        <v>100</v>
      </c>
    </row>
    <row r="25" spans="1:19" x14ac:dyDescent="0.2">
      <c r="A25" s="546" t="str">
        <f t="shared" si="2"/>
        <v>4|11</v>
      </c>
      <c r="B25" s="535" t="s">
        <v>172</v>
      </c>
      <c r="C25" s="534" t="s">
        <v>189</v>
      </c>
      <c r="D25" s="533"/>
      <c r="E25" s="532">
        <v>10</v>
      </c>
      <c r="F25" s="532">
        <v>35</v>
      </c>
      <c r="G25" s="532">
        <v>35</v>
      </c>
      <c r="H25" s="532">
        <v>20</v>
      </c>
      <c r="I25" s="532"/>
      <c r="J25" s="531"/>
      <c r="K25" s="531"/>
      <c r="L25" s="531"/>
      <c r="M25" s="531"/>
      <c r="N25" s="531"/>
      <c r="O25" s="531"/>
      <c r="P25" s="531"/>
      <c r="S25" s="6">
        <f t="shared" si="3"/>
        <v>100</v>
      </c>
    </row>
    <row r="26" spans="1:19" ht="5.45" customHeight="1" x14ac:dyDescent="0.2"/>
    <row r="27" spans="1:19" ht="13.5" thickBot="1" x14ac:dyDescent="0.25">
      <c r="A27" s="545" t="s">
        <v>35</v>
      </c>
      <c r="B27" s="544">
        <v>5</v>
      </c>
      <c r="C27" s="543"/>
      <c r="D27" s="542"/>
      <c r="E27" s="541"/>
      <c r="F27" s="541"/>
      <c r="G27" s="541"/>
      <c r="H27" s="541"/>
      <c r="I27" s="541"/>
      <c r="J27" s="541"/>
      <c r="K27" s="541"/>
      <c r="L27" s="541"/>
      <c r="M27" s="541"/>
      <c r="N27" s="541"/>
      <c r="O27" s="541"/>
      <c r="P27" s="541"/>
    </row>
    <row r="28" spans="1:19" ht="13.5" thickTop="1" x14ac:dyDescent="0.2">
      <c r="A28" s="540" t="str">
        <f t="shared" ref="A28:A38" si="4">CONCATENATE($B$27,"|",B28)</f>
        <v>5|1</v>
      </c>
      <c r="B28" s="539">
        <v>1</v>
      </c>
      <c r="C28" s="534" t="s">
        <v>158</v>
      </c>
      <c r="D28" s="533">
        <v>1</v>
      </c>
      <c r="E28" s="537">
        <v>40</v>
      </c>
      <c r="F28" s="537">
        <v>30</v>
      </c>
      <c r="G28" s="537">
        <v>25</v>
      </c>
      <c r="H28" s="537">
        <v>5</v>
      </c>
      <c r="I28" s="537"/>
      <c r="J28" s="538"/>
      <c r="K28" s="538"/>
      <c r="L28" s="538"/>
      <c r="M28" s="538"/>
      <c r="N28" s="538"/>
      <c r="O28" s="538"/>
      <c r="P28" s="538"/>
      <c r="S28" s="6">
        <f t="shared" ref="S28:S38" si="5">SUM(E28:P28)</f>
        <v>100</v>
      </c>
    </row>
    <row r="29" spans="1:19" x14ac:dyDescent="0.2">
      <c r="A29" s="536" t="str">
        <f t="shared" si="4"/>
        <v>5|2</v>
      </c>
      <c r="B29" s="535" t="s">
        <v>90</v>
      </c>
      <c r="C29" s="534" t="s">
        <v>154</v>
      </c>
      <c r="D29" s="533">
        <v>2</v>
      </c>
      <c r="E29" s="537">
        <v>30</v>
      </c>
      <c r="F29" s="537">
        <v>30</v>
      </c>
      <c r="G29" s="537">
        <v>30</v>
      </c>
      <c r="H29" s="537">
        <v>10</v>
      </c>
      <c r="I29" s="537"/>
      <c r="J29" s="531"/>
      <c r="K29" s="531"/>
      <c r="L29" s="531"/>
      <c r="M29" s="531"/>
      <c r="N29" s="531"/>
      <c r="O29" s="531"/>
      <c r="P29" s="531"/>
      <c r="S29" s="6">
        <f t="shared" si="5"/>
        <v>100</v>
      </c>
    </row>
    <row r="30" spans="1:19" x14ac:dyDescent="0.2">
      <c r="A30" s="536" t="str">
        <f t="shared" si="4"/>
        <v>5|3</v>
      </c>
      <c r="B30" s="535" t="s">
        <v>95</v>
      </c>
      <c r="C30" s="534" t="s">
        <v>159</v>
      </c>
      <c r="D30" s="533">
        <v>3</v>
      </c>
      <c r="E30" s="532">
        <v>10</v>
      </c>
      <c r="F30" s="532">
        <v>30</v>
      </c>
      <c r="G30" s="532">
        <v>30</v>
      </c>
      <c r="H30" s="532">
        <v>25</v>
      </c>
      <c r="I30" s="532">
        <v>5</v>
      </c>
      <c r="J30" s="531"/>
      <c r="K30" s="531"/>
      <c r="L30" s="531"/>
      <c r="M30" s="531"/>
      <c r="N30" s="531"/>
      <c r="O30" s="531"/>
      <c r="P30" s="531"/>
      <c r="S30" s="6">
        <f t="shared" si="5"/>
        <v>100</v>
      </c>
    </row>
    <row r="31" spans="1:19" x14ac:dyDescent="0.2">
      <c r="A31" s="536" t="str">
        <f t="shared" si="4"/>
        <v>5|4</v>
      </c>
      <c r="B31" s="535" t="s">
        <v>97</v>
      </c>
      <c r="C31" s="534" t="s">
        <v>155</v>
      </c>
      <c r="D31" s="533">
        <v>4</v>
      </c>
      <c r="E31" s="532"/>
      <c r="F31" s="532">
        <v>15</v>
      </c>
      <c r="G31" s="532">
        <v>30</v>
      </c>
      <c r="H31" s="532">
        <v>30</v>
      </c>
      <c r="I31" s="532">
        <v>25</v>
      </c>
      <c r="J31" s="531"/>
      <c r="K31" s="531"/>
      <c r="L31" s="531"/>
      <c r="M31" s="531"/>
      <c r="N31" s="531"/>
      <c r="O31" s="531"/>
      <c r="P31" s="531"/>
      <c r="S31" s="6">
        <f t="shared" si="5"/>
        <v>100</v>
      </c>
    </row>
    <row r="32" spans="1:19" x14ac:dyDescent="0.2">
      <c r="A32" s="536" t="str">
        <f t="shared" si="4"/>
        <v>5|5</v>
      </c>
      <c r="B32" s="535" t="s">
        <v>89</v>
      </c>
      <c r="C32" s="534" t="s">
        <v>156</v>
      </c>
      <c r="D32" s="533">
        <v>5</v>
      </c>
      <c r="E32" s="532"/>
      <c r="F32" s="532">
        <v>25</v>
      </c>
      <c r="G32" s="532">
        <v>35</v>
      </c>
      <c r="H32" s="532">
        <v>35</v>
      </c>
      <c r="I32" s="532">
        <v>5</v>
      </c>
      <c r="J32" s="531"/>
      <c r="K32" s="531"/>
      <c r="L32" s="531"/>
      <c r="M32" s="531"/>
      <c r="N32" s="531"/>
      <c r="O32" s="531"/>
      <c r="P32" s="531"/>
      <c r="S32" s="6">
        <f t="shared" si="5"/>
        <v>100</v>
      </c>
    </row>
    <row r="33" spans="1:19" x14ac:dyDescent="0.2">
      <c r="A33" s="536" t="str">
        <f t="shared" si="4"/>
        <v>5|6</v>
      </c>
      <c r="B33" s="535" t="s">
        <v>98</v>
      </c>
      <c r="C33" s="534" t="s">
        <v>160</v>
      </c>
      <c r="D33" s="533">
        <v>3</v>
      </c>
      <c r="E33" s="532"/>
      <c r="F33" s="532">
        <v>5</v>
      </c>
      <c r="G33" s="532">
        <v>40</v>
      </c>
      <c r="H33" s="532">
        <v>30</v>
      </c>
      <c r="I33" s="532">
        <v>25</v>
      </c>
      <c r="J33" s="531"/>
      <c r="K33" s="531"/>
      <c r="L33" s="531"/>
      <c r="M33" s="531"/>
      <c r="N33" s="531"/>
      <c r="O33" s="531"/>
      <c r="P33" s="531"/>
      <c r="S33" s="6">
        <f t="shared" si="5"/>
        <v>100</v>
      </c>
    </row>
    <row r="34" spans="1:19" x14ac:dyDescent="0.2">
      <c r="A34" s="536" t="str">
        <f t="shared" si="4"/>
        <v>5|7</v>
      </c>
      <c r="B34" s="535" t="s">
        <v>153</v>
      </c>
      <c r="C34" s="534" t="s">
        <v>161</v>
      </c>
      <c r="D34" s="533">
        <v>5</v>
      </c>
      <c r="E34" s="532"/>
      <c r="F34" s="532">
        <v>10</v>
      </c>
      <c r="G34" s="532">
        <v>35</v>
      </c>
      <c r="H34" s="532">
        <v>35</v>
      </c>
      <c r="I34" s="532">
        <v>20</v>
      </c>
      <c r="J34" s="531"/>
      <c r="K34" s="531"/>
      <c r="L34" s="531"/>
      <c r="M34" s="531"/>
      <c r="N34" s="531"/>
      <c r="O34" s="531"/>
      <c r="P34" s="531"/>
      <c r="S34" s="6">
        <f t="shared" si="5"/>
        <v>100</v>
      </c>
    </row>
    <row r="35" spans="1:19" x14ac:dyDescent="0.2">
      <c r="A35" s="536" t="str">
        <f t="shared" si="4"/>
        <v>5|8</v>
      </c>
      <c r="B35" s="535" t="s">
        <v>110</v>
      </c>
      <c r="C35" s="534" t="s">
        <v>162</v>
      </c>
      <c r="D35" s="533">
        <v>6</v>
      </c>
      <c r="E35" s="532"/>
      <c r="F35" s="532">
        <v>10</v>
      </c>
      <c r="G35" s="532">
        <v>35</v>
      </c>
      <c r="H35" s="532">
        <v>35</v>
      </c>
      <c r="I35" s="532">
        <v>20</v>
      </c>
      <c r="J35" s="531"/>
      <c r="K35" s="531"/>
      <c r="L35" s="531"/>
      <c r="M35" s="531"/>
      <c r="N35" s="531"/>
      <c r="O35" s="531"/>
      <c r="P35" s="531"/>
      <c r="S35" s="6">
        <f t="shared" si="5"/>
        <v>100</v>
      </c>
    </row>
    <row r="36" spans="1:19" x14ac:dyDescent="0.2">
      <c r="A36" s="536" t="str">
        <f t="shared" si="4"/>
        <v>5|9</v>
      </c>
      <c r="B36" s="535" t="s">
        <v>163</v>
      </c>
      <c r="C36" s="534" t="s">
        <v>164</v>
      </c>
      <c r="D36" s="533">
        <v>6</v>
      </c>
      <c r="E36" s="532">
        <v>5</v>
      </c>
      <c r="F36" s="532">
        <v>25</v>
      </c>
      <c r="G36" s="532">
        <v>25</v>
      </c>
      <c r="H36" s="532">
        <v>25</v>
      </c>
      <c r="I36" s="532">
        <v>20</v>
      </c>
      <c r="J36" s="531"/>
      <c r="K36" s="531"/>
      <c r="L36" s="531"/>
      <c r="M36" s="531"/>
      <c r="N36" s="531"/>
      <c r="O36" s="531"/>
      <c r="P36" s="531"/>
      <c r="S36" s="6">
        <f t="shared" si="5"/>
        <v>100</v>
      </c>
    </row>
    <row r="37" spans="1:19" x14ac:dyDescent="0.2">
      <c r="A37" s="536" t="str">
        <f t="shared" si="4"/>
        <v>5|10</v>
      </c>
      <c r="B37" s="535" t="s">
        <v>165</v>
      </c>
      <c r="C37" s="534" t="s">
        <v>157</v>
      </c>
      <c r="D37" s="533"/>
      <c r="E37" s="532">
        <v>25</v>
      </c>
      <c r="F37" s="532">
        <v>30</v>
      </c>
      <c r="G37" s="532">
        <v>30</v>
      </c>
      <c r="H37" s="532">
        <v>15</v>
      </c>
      <c r="I37" s="532"/>
      <c r="J37" s="531"/>
      <c r="K37" s="531"/>
      <c r="L37" s="531"/>
      <c r="M37" s="531"/>
      <c r="N37" s="531"/>
      <c r="O37" s="531"/>
      <c r="P37" s="531"/>
      <c r="S37" s="6">
        <f t="shared" si="5"/>
        <v>100</v>
      </c>
    </row>
    <row r="38" spans="1:19" x14ac:dyDescent="0.2">
      <c r="A38" s="536" t="str">
        <f t="shared" si="4"/>
        <v>5|11</v>
      </c>
      <c r="B38" s="535" t="s">
        <v>172</v>
      </c>
      <c r="C38" s="534" t="s">
        <v>189</v>
      </c>
      <c r="D38" s="533"/>
      <c r="E38" s="532">
        <v>7</v>
      </c>
      <c r="F38" s="532">
        <v>21</v>
      </c>
      <c r="G38" s="532">
        <v>27</v>
      </c>
      <c r="H38" s="532">
        <v>28</v>
      </c>
      <c r="I38" s="532">
        <v>17</v>
      </c>
      <c r="J38" s="531"/>
      <c r="K38" s="531"/>
      <c r="L38" s="531"/>
      <c r="M38" s="531"/>
      <c r="N38" s="531"/>
      <c r="O38" s="531"/>
      <c r="P38" s="531"/>
      <c r="S38" s="6">
        <f t="shared" si="5"/>
        <v>100</v>
      </c>
    </row>
    <row r="39" spans="1:19" ht="5.45" customHeight="1" x14ac:dyDescent="0.2"/>
    <row r="40" spans="1:19" ht="13.5" thickBot="1" x14ac:dyDescent="0.25">
      <c r="A40" s="545" t="s">
        <v>35</v>
      </c>
      <c r="B40" s="544">
        <v>6</v>
      </c>
      <c r="C40" s="543"/>
      <c r="D40" s="542"/>
      <c r="E40" s="541"/>
      <c r="F40" s="541"/>
      <c r="G40" s="541"/>
      <c r="H40" s="541"/>
      <c r="I40" s="541"/>
      <c r="J40" s="541"/>
      <c r="K40" s="541"/>
      <c r="L40" s="541"/>
      <c r="M40" s="541"/>
      <c r="N40" s="541"/>
      <c r="O40" s="541"/>
      <c r="P40" s="541"/>
    </row>
    <row r="41" spans="1:19" ht="13.5" thickTop="1" x14ac:dyDescent="0.2">
      <c r="A41" s="540" t="str">
        <f t="shared" ref="A41:A51" si="6">CONCATENATE($B$40,"|",B41)</f>
        <v>6|1</v>
      </c>
      <c r="B41" s="539">
        <v>1</v>
      </c>
      <c r="C41" s="534" t="s">
        <v>158</v>
      </c>
      <c r="D41" s="533">
        <v>1</v>
      </c>
      <c r="E41" s="537">
        <v>20</v>
      </c>
      <c r="F41" s="537">
        <v>30</v>
      </c>
      <c r="G41" s="537">
        <v>30</v>
      </c>
      <c r="H41" s="537">
        <v>20</v>
      </c>
      <c r="I41" s="537"/>
      <c r="J41" s="538"/>
      <c r="K41" s="538"/>
      <c r="L41" s="538"/>
      <c r="M41" s="538"/>
      <c r="N41" s="538"/>
      <c r="O41" s="538"/>
      <c r="P41" s="538"/>
      <c r="S41" s="6">
        <f t="shared" ref="S41:S51" si="7">SUM(E41:P41)</f>
        <v>100</v>
      </c>
    </row>
    <row r="42" spans="1:19" x14ac:dyDescent="0.2">
      <c r="A42" s="536" t="str">
        <f t="shared" si="6"/>
        <v>6|2</v>
      </c>
      <c r="B42" s="535" t="s">
        <v>90</v>
      </c>
      <c r="C42" s="534" t="s">
        <v>154</v>
      </c>
      <c r="D42" s="533">
        <v>2</v>
      </c>
      <c r="E42" s="537">
        <v>15</v>
      </c>
      <c r="F42" s="537">
        <v>25</v>
      </c>
      <c r="G42" s="537">
        <v>30</v>
      </c>
      <c r="H42" s="537">
        <v>25</v>
      </c>
      <c r="I42" s="537">
        <v>5</v>
      </c>
      <c r="J42" s="531"/>
      <c r="K42" s="531"/>
      <c r="L42" s="531"/>
      <c r="M42" s="531"/>
      <c r="N42" s="531"/>
      <c r="O42" s="531"/>
      <c r="P42" s="531"/>
      <c r="S42" s="6">
        <f t="shared" si="7"/>
        <v>100</v>
      </c>
    </row>
    <row r="43" spans="1:19" x14ac:dyDescent="0.2">
      <c r="A43" s="536" t="str">
        <f t="shared" si="6"/>
        <v>6|3</v>
      </c>
      <c r="B43" s="535" t="s">
        <v>95</v>
      </c>
      <c r="C43" s="534" t="s">
        <v>159</v>
      </c>
      <c r="D43" s="533">
        <v>3</v>
      </c>
      <c r="E43" s="532">
        <v>5</v>
      </c>
      <c r="F43" s="532">
        <v>20</v>
      </c>
      <c r="G43" s="532">
        <v>30</v>
      </c>
      <c r="H43" s="532">
        <v>25</v>
      </c>
      <c r="I43" s="532">
        <v>20</v>
      </c>
      <c r="J43" s="531"/>
      <c r="K43" s="531"/>
      <c r="L43" s="531"/>
      <c r="M43" s="531"/>
      <c r="N43" s="531"/>
      <c r="O43" s="531"/>
      <c r="P43" s="531"/>
      <c r="S43" s="6">
        <f t="shared" si="7"/>
        <v>100</v>
      </c>
    </row>
    <row r="44" spans="1:19" x14ac:dyDescent="0.2">
      <c r="A44" s="536" t="str">
        <f t="shared" si="6"/>
        <v>6|4</v>
      </c>
      <c r="B44" s="535" t="s">
        <v>97</v>
      </c>
      <c r="C44" s="534" t="s">
        <v>155</v>
      </c>
      <c r="D44" s="533">
        <v>4</v>
      </c>
      <c r="E44" s="532"/>
      <c r="F44" s="532">
        <v>5</v>
      </c>
      <c r="G44" s="532">
        <v>20</v>
      </c>
      <c r="H44" s="532">
        <v>30</v>
      </c>
      <c r="I44" s="532">
        <v>25</v>
      </c>
      <c r="J44" s="531">
        <v>20</v>
      </c>
      <c r="K44" s="531"/>
      <c r="L44" s="531"/>
      <c r="M44" s="531"/>
      <c r="N44" s="531"/>
      <c r="O44" s="531"/>
      <c r="P44" s="531"/>
      <c r="S44" s="6">
        <f t="shared" si="7"/>
        <v>100</v>
      </c>
    </row>
    <row r="45" spans="1:19" x14ac:dyDescent="0.2">
      <c r="A45" s="536" t="str">
        <f t="shared" si="6"/>
        <v>6|5</v>
      </c>
      <c r="B45" s="535" t="s">
        <v>89</v>
      </c>
      <c r="C45" s="534" t="s">
        <v>156</v>
      </c>
      <c r="D45" s="533">
        <v>5</v>
      </c>
      <c r="E45" s="532"/>
      <c r="F45" s="532">
        <v>15</v>
      </c>
      <c r="G45" s="532">
        <v>30</v>
      </c>
      <c r="H45" s="532">
        <v>30</v>
      </c>
      <c r="I45" s="532">
        <v>25</v>
      </c>
      <c r="J45" s="531"/>
      <c r="K45" s="531"/>
      <c r="L45" s="531"/>
      <c r="M45" s="531"/>
      <c r="N45" s="531"/>
      <c r="O45" s="531"/>
      <c r="P45" s="531"/>
      <c r="S45" s="6">
        <f t="shared" si="7"/>
        <v>100</v>
      </c>
    </row>
    <row r="46" spans="1:19" x14ac:dyDescent="0.2">
      <c r="A46" s="536" t="str">
        <f t="shared" si="6"/>
        <v>6|6</v>
      </c>
      <c r="B46" s="535" t="s">
        <v>98</v>
      </c>
      <c r="C46" s="534" t="s">
        <v>160</v>
      </c>
      <c r="D46" s="533">
        <v>3</v>
      </c>
      <c r="E46" s="532"/>
      <c r="F46" s="532">
        <v>5</v>
      </c>
      <c r="G46" s="532">
        <v>10</v>
      </c>
      <c r="H46" s="532">
        <v>30</v>
      </c>
      <c r="I46" s="532">
        <v>30</v>
      </c>
      <c r="J46" s="531">
        <v>25</v>
      </c>
      <c r="K46" s="531"/>
      <c r="L46" s="531"/>
      <c r="M46" s="531"/>
      <c r="N46" s="531"/>
      <c r="O46" s="531"/>
      <c r="P46" s="531"/>
      <c r="S46" s="6">
        <f t="shared" si="7"/>
        <v>100</v>
      </c>
    </row>
    <row r="47" spans="1:19" x14ac:dyDescent="0.2">
      <c r="A47" s="536" t="str">
        <f t="shared" si="6"/>
        <v>6|7</v>
      </c>
      <c r="B47" s="535" t="s">
        <v>153</v>
      </c>
      <c r="C47" s="534" t="s">
        <v>161</v>
      </c>
      <c r="D47" s="533">
        <v>5</v>
      </c>
      <c r="E47" s="532"/>
      <c r="F47" s="532"/>
      <c r="G47" s="532">
        <v>20</v>
      </c>
      <c r="H47" s="532">
        <v>20</v>
      </c>
      <c r="I47" s="532">
        <v>30</v>
      </c>
      <c r="J47" s="531">
        <v>30</v>
      </c>
      <c r="K47" s="531"/>
      <c r="L47" s="531"/>
      <c r="M47" s="531"/>
      <c r="N47" s="531"/>
      <c r="O47" s="531"/>
      <c r="P47" s="531"/>
      <c r="S47" s="6">
        <f t="shared" si="7"/>
        <v>100</v>
      </c>
    </row>
    <row r="48" spans="1:19" x14ac:dyDescent="0.2">
      <c r="A48" s="536" t="str">
        <f t="shared" si="6"/>
        <v>6|8</v>
      </c>
      <c r="B48" s="535" t="s">
        <v>110</v>
      </c>
      <c r="C48" s="534" t="s">
        <v>162</v>
      </c>
      <c r="D48" s="533">
        <v>6</v>
      </c>
      <c r="E48" s="532"/>
      <c r="F48" s="532"/>
      <c r="G48" s="532">
        <v>20</v>
      </c>
      <c r="H48" s="532">
        <v>30</v>
      </c>
      <c r="I48" s="532">
        <v>30</v>
      </c>
      <c r="J48" s="531">
        <v>20</v>
      </c>
      <c r="K48" s="531"/>
      <c r="L48" s="531"/>
      <c r="M48" s="531"/>
      <c r="N48" s="531"/>
      <c r="O48" s="531"/>
      <c r="P48" s="531"/>
      <c r="S48" s="6">
        <f t="shared" si="7"/>
        <v>100</v>
      </c>
    </row>
    <row r="49" spans="1:19" x14ac:dyDescent="0.2">
      <c r="A49" s="536" t="str">
        <f t="shared" si="6"/>
        <v>6|9</v>
      </c>
      <c r="B49" s="535" t="s">
        <v>163</v>
      </c>
      <c r="C49" s="534" t="s">
        <v>164</v>
      </c>
      <c r="D49" s="533">
        <v>6</v>
      </c>
      <c r="E49" s="532">
        <v>5</v>
      </c>
      <c r="F49" s="532">
        <v>15</v>
      </c>
      <c r="G49" s="532">
        <v>25</v>
      </c>
      <c r="H49" s="532">
        <v>25</v>
      </c>
      <c r="I49" s="532">
        <v>20</v>
      </c>
      <c r="J49" s="531">
        <v>10</v>
      </c>
      <c r="K49" s="531"/>
      <c r="L49" s="531"/>
      <c r="M49" s="531"/>
      <c r="N49" s="531"/>
      <c r="O49" s="531"/>
      <c r="P49" s="531"/>
      <c r="S49" s="6">
        <f t="shared" si="7"/>
        <v>100</v>
      </c>
    </row>
    <row r="50" spans="1:19" x14ac:dyDescent="0.2">
      <c r="A50" s="536" t="str">
        <f t="shared" si="6"/>
        <v>6|10</v>
      </c>
      <c r="B50" s="535" t="s">
        <v>165</v>
      </c>
      <c r="C50" s="534" t="s">
        <v>157</v>
      </c>
      <c r="D50" s="533"/>
      <c r="E50" s="532">
        <v>20</v>
      </c>
      <c r="F50" s="532">
        <v>30</v>
      </c>
      <c r="G50" s="532">
        <v>30</v>
      </c>
      <c r="H50" s="532">
        <v>15</v>
      </c>
      <c r="I50" s="532">
        <v>5</v>
      </c>
      <c r="J50" s="531"/>
      <c r="K50" s="531"/>
      <c r="L50" s="531"/>
      <c r="M50" s="531"/>
      <c r="N50" s="531"/>
      <c r="O50" s="531"/>
      <c r="P50" s="531"/>
      <c r="S50" s="6">
        <f t="shared" si="7"/>
        <v>100</v>
      </c>
    </row>
    <row r="51" spans="1:19" x14ac:dyDescent="0.2">
      <c r="A51" s="536" t="str">
        <f t="shared" si="6"/>
        <v>6|11</v>
      </c>
      <c r="B51" s="535" t="s">
        <v>172</v>
      </c>
      <c r="C51" s="534" t="s">
        <v>189</v>
      </c>
      <c r="D51" s="533"/>
      <c r="E51" s="532">
        <v>3</v>
      </c>
      <c r="F51" s="532">
        <v>12</v>
      </c>
      <c r="G51" s="532">
        <v>25</v>
      </c>
      <c r="H51" s="532">
        <v>28</v>
      </c>
      <c r="I51" s="532">
        <v>21</v>
      </c>
      <c r="J51" s="531">
        <v>11</v>
      </c>
      <c r="K51" s="531"/>
      <c r="L51" s="531"/>
      <c r="M51" s="531"/>
      <c r="N51" s="531"/>
      <c r="O51" s="531"/>
      <c r="P51" s="531"/>
      <c r="S51" s="6">
        <f t="shared" si="7"/>
        <v>100</v>
      </c>
    </row>
    <row r="52" spans="1:19" ht="5.45" customHeight="1" x14ac:dyDescent="0.2"/>
    <row r="53" spans="1:19" ht="13.5" thickBot="1" x14ac:dyDescent="0.25">
      <c r="A53" s="545" t="s">
        <v>35</v>
      </c>
      <c r="B53" s="544">
        <v>7</v>
      </c>
      <c r="C53" s="543"/>
      <c r="D53" s="542"/>
      <c r="E53" s="541"/>
      <c r="F53" s="541"/>
      <c r="G53" s="541"/>
      <c r="H53" s="541"/>
      <c r="I53" s="541"/>
      <c r="J53" s="541"/>
      <c r="K53" s="541"/>
      <c r="L53" s="541"/>
      <c r="M53" s="541"/>
      <c r="N53" s="541"/>
      <c r="O53" s="541"/>
      <c r="P53" s="541"/>
    </row>
    <row r="54" spans="1:19" ht="13.5" thickTop="1" x14ac:dyDescent="0.2">
      <c r="A54" s="540" t="str">
        <f t="shared" ref="A54:A64" si="8">CONCATENATE($B$53,"|",B54)</f>
        <v>7|1</v>
      </c>
      <c r="B54" s="539">
        <v>1</v>
      </c>
      <c r="C54" s="534" t="s">
        <v>158</v>
      </c>
      <c r="D54" s="533">
        <v>1</v>
      </c>
      <c r="E54" s="537">
        <v>15</v>
      </c>
      <c r="F54" s="537">
        <v>30</v>
      </c>
      <c r="G54" s="537">
        <v>30</v>
      </c>
      <c r="H54" s="537">
        <v>20</v>
      </c>
      <c r="I54" s="537">
        <v>5</v>
      </c>
      <c r="J54" s="538"/>
      <c r="K54" s="538"/>
      <c r="L54" s="538"/>
      <c r="M54" s="538"/>
      <c r="N54" s="538"/>
      <c r="O54" s="538"/>
      <c r="P54" s="538"/>
      <c r="S54" s="6">
        <f t="shared" ref="S54:S64" si="9">SUM(E54:P54)</f>
        <v>100</v>
      </c>
    </row>
    <row r="55" spans="1:19" x14ac:dyDescent="0.2">
      <c r="A55" s="536" t="str">
        <f t="shared" si="8"/>
        <v>7|2</v>
      </c>
      <c r="B55" s="535" t="s">
        <v>90</v>
      </c>
      <c r="C55" s="534" t="s">
        <v>154</v>
      </c>
      <c r="D55" s="533">
        <v>2</v>
      </c>
      <c r="E55" s="537">
        <v>15</v>
      </c>
      <c r="F55" s="537">
        <v>20</v>
      </c>
      <c r="G55" s="537">
        <v>25</v>
      </c>
      <c r="H55" s="537">
        <v>25</v>
      </c>
      <c r="I55" s="537">
        <v>15</v>
      </c>
      <c r="J55" s="531"/>
      <c r="K55" s="531"/>
      <c r="L55" s="531"/>
      <c r="M55" s="531"/>
      <c r="N55" s="531"/>
      <c r="O55" s="531"/>
      <c r="P55" s="531"/>
      <c r="S55" s="6">
        <f t="shared" si="9"/>
        <v>100</v>
      </c>
    </row>
    <row r="56" spans="1:19" x14ac:dyDescent="0.2">
      <c r="A56" s="536" t="str">
        <f t="shared" si="8"/>
        <v>7|3</v>
      </c>
      <c r="B56" s="535" t="s">
        <v>95</v>
      </c>
      <c r="C56" s="534" t="s">
        <v>159</v>
      </c>
      <c r="D56" s="533">
        <v>3</v>
      </c>
      <c r="E56" s="532">
        <v>5</v>
      </c>
      <c r="F56" s="532">
        <v>15</v>
      </c>
      <c r="G56" s="532">
        <v>20</v>
      </c>
      <c r="H56" s="532">
        <v>25</v>
      </c>
      <c r="I56" s="532">
        <v>20</v>
      </c>
      <c r="J56" s="531">
        <v>15</v>
      </c>
      <c r="K56" s="531"/>
      <c r="L56" s="531"/>
      <c r="M56" s="531"/>
      <c r="N56" s="531"/>
      <c r="O56" s="531"/>
      <c r="P56" s="531"/>
      <c r="S56" s="6">
        <f t="shared" si="9"/>
        <v>100</v>
      </c>
    </row>
    <row r="57" spans="1:19" x14ac:dyDescent="0.2">
      <c r="A57" s="536" t="str">
        <f t="shared" si="8"/>
        <v>7|4</v>
      </c>
      <c r="B57" s="535" t="s">
        <v>97</v>
      </c>
      <c r="C57" s="534" t="s">
        <v>155</v>
      </c>
      <c r="D57" s="533">
        <v>4</v>
      </c>
      <c r="E57" s="532"/>
      <c r="F57" s="532"/>
      <c r="G57" s="532">
        <v>15</v>
      </c>
      <c r="H57" s="532">
        <v>25</v>
      </c>
      <c r="I57" s="532">
        <v>25</v>
      </c>
      <c r="J57" s="531">
        <v>25</v>
      </c>
      <c r="K57" s="531">
        <v>10</v>
      </c>
      <c r="L57" s="531"/>
      <c r="M57" s="531"/>
      <c r="N57" s="531"/>
      <c r="O57" s="531"/>
      <c r="P57" s="531"/>
      <c r="S57" s="6">
        <f t="shared" si="9"/>
        <v>100</v>
      </c>
    </row>
    <row r="58" spans="1:19" x14ac:dyDescent="0.2">
      <c r="A58" s="536" t="str">
        <f t="shared" si="8"/>
        <v>7|5</v>
      </c>
      <c r="B58" s="535" t="s">
        <v>89</v>
      </c>
      <c r="C58" s="534" t="s">
        <v>156</v>
      </c>
      <c r="D58" s="533">
        <v>5</v>
      </c>
      <c r="E58" s="532"/>
      <c r="F58" s="532">
        <v>10</v>
      </c>
      <c r="G58" s="532">
        <v>15</v>
      </c>
      <c r="H58" s="532">
        <v>30</v>
      </c>
      <c r="I58" s="532">
        <v>30</v>
      </c>
      <c r="J58" s="531">
        <v>15</v>
      </c>
      <c r="K58" s="531"/>
      <c r="L58" s="531"/>
      <c r="M58" s="531"/>
      <c r="N58" s="531"/>
      <c r="O58" s="531"/>
      <c r="P58" s="531"/>
      <c r="S58" s="6">
        <f t="shared" si="9"/>
        <v>100</v>
      </c>
    </row>
    <row r="59" spans="1:19" x14ac:dyDescent="0.2">
      <c r="A59" s="536" t="str">
        <f t="shared" si="8"/>
        <v>7|6</v>
      </c>
      <c r="B59" s="535" t="s">
        <v>98</v>
      </c>
      <c r="C59" s="534" t="s">
        <v>160</v>
      </c>
      <c r="D59" s="533">
        <v>3</v>
      </c>
      <c r="E59" s="532"/>
      <c r="F59" s="532">
        <v>5</v>
      </c>
      <c r="G59" s="532">
        <v>10</v>
      </c>
      <c r="H59" s="532">
        <v>25</v>
      </c>
      <c r="I59" s="532">
        <v>25</v>
      </c>
      <c r="J59" s="531">
        <v>20</v>
      </c>
      <c r="K59" s="531">
        <v>15</v>
      </c>
      <c r="L59" s="531"/>
      <c r="M59" s="531"/>
      <c r="N59" s="531"/>
      <c r="O59" s="531"/>
      <c r="P59" s="531"/>
      <c r="S59" s="6">
        <f t="shared" si="9"/>
        <v>100</v>
      </c>
    </row>
    <row r="60" spans="1:19" x14ac:dyDescent="0.2">
      <c r="A60" s="536" t="str">
        <f t="shared" si="8"/>
        <v>7|7</v>
      </c>
      <c r="B60" s="535" t="s">
        <v>153</v>
      </c>
      <c r="C60" s="534" t="s">
        <v>161</v>
      </c>
      <c r="D60" s="533">
        <v>5</v>
      </c>
      <c r="E60" s="532"/>
      <c r="F60" s="532"/>
      <c r="G60" s="532">
        <v>15</v>
      </c>
      <c r="H60" s="532">
        <v>15</v>
      </c>
      <c r="I60" s="532">
        <v>25</v>
      </c>
      <c r="J60" s="532">
        <v>25</v>
      </c>
      <c r="K60" s="531">
        <v>20</v>
      </c>
      <c r="L60" s="531"/>
      <c r="M60" s="531"/>
      <c r="N60" s="531"/>
      <c r="O60" s="531"/>
      <c r="P60" s="531"/>
      <c r="S60" s="6">
        <f t="shared" si="9"/>
        <v>100</v>
      </c>
    </row>
    <row r="61" spans="1:19" x14ac:dyDescent="0.2">
      <c r="A61" s="536" t="str">
        <f t="shared" si="8"/>
        <v>7|8</v>
      </c>
      <c r="B61" s="535" t="s">
        <v>110</v>
      </c>
      <c r="C61" s="534" t="s">
        <v>162</v>
      </c>
      <c r="D61" s="533">
        <v>6</v>
      </c>
      <c r="E61" s="532"/>
      <c r="F61" s="532"/>
      <c r="G61" s="532">
        <v>10</v>
      </c>
      <c r="H61" s="532">
        <v>20</v>
      </c>
      <c r="I61" s="532">
        <v>20</v>
      </c>
      <c r="J61" s="531">
        <v>30</v>
      </c>
      <c r="K61" s="531">
        <v>20</v>
      </c>
      <c r="L61" s="531"/>
      <c r="M61" s="531"/>
      <c r="N61" s="531"/>
      <c r="O61" s="531"/>
      <c r="P61" s="531"/>
      <c r="S61" s="6">
        <f t="shared" si="9"/>
        <v>100</v>
      </c>
    </row>
    <row r="62" spans="1:19" x14ac:dyDescent="0.2">
      <c r="A62" s="536" t="str">
        <f t="shared" si="8"/>
        <v>7|9</v>
      </c>
      <c r="B62" s="535" t="s">
        <v>163</v>
      </c>
      <c r="C62" s="534" t="s">
        <v>164</v>
      </c>
      <c r="D62" s="533">
        <v>6</v>
      </c>
      <c r="E62" s="532">
        <v>5</v>
      </c>
      <c r="F62" s="532">
        <v>10</v>
      </c>
      <c r="G62" s="532">
        <v>20</v>
      </c>
      <c r="H62" s="532">
        <v>20</v>
      </c>
      <c r="I62" s="532">
        <v>20</v>
      </c>
      <c r="J62" s="531">
        <v>15</v>
      </c>
      <c r="K62" s="531">
        <v>10</v>
      </c>
      <c r="L62" s="531"/>
      <c r="M62" s="531"/>
      <c r="N62" s="531"/>
      <c r="O62" s="531"/>
      <c r="P62" s="531"/>
      <c r="S62" s="6">
        <f t="shared" si="9"/>
        <v>100</v>
      </c>
    </row>
    <row r="63" spans="1:19" x14ac:dyDescent="0.2">
      <c r="A63" s="536" t="str">
        <f t="shared" si="8"/>
        <v>7|10</v>
      </c>
      <c r="B63" s="535" t="s">
        <v>165</v>
      </c>
      <c r="C63" s="534" t="s">
        <v>157</v>
      </c>
      <c r="D63" s="533"/>
      <c r="E63" s="532">
        <v>15</v>
      </c>
      <c r="F63" s="532">
        <v>25</v>
      </c>
      <c r="G63" s="532">
        <v>25</v>
      </c>
      <c r="H63" s="532">
        <v>20</v>
      </c>
      <c r="I63" s="532">
        <v>10</v>
      </c>
      <c r="J63" s="531">
        <v>5</v>
      </c>
      <c r="K63" s="531"/>
      <c r="L63" s="531"/>
      <c r="M63" s="531"/>
      <c r="N63" s="531"/>
      <c r="O63" s="531"/>
      <c r="P63" s="531"/>
      <c r="S63" s="6">
        <f t="shared" si="9"/>
        <v>100</v>
      </c>
    </row>
    <row r="64" spans="1:19" x14ac:dyDescent="0.2">
      <c r="A64" s="536" t="str">
        <f t="shared" si="8"/>
        <v>7|11</v>
      </c>
      <c r="B64" s="535" t="s">
        <v>172</v>
      </c>
      <c r="C64" s="534" t="s">
        <v>189</v>
      </c>
      <c r="D64" s="533"/>
      <c r="E64" s="532">
        <v>2</v>
      </c>
      <c r="F64" s="532">
        <v>8</v>
      </c>
      <c r="G64" s="532">
        <v>18</v>
      </c>
      <c r="H64" s="532">
        <v>20</v>
      </c>
      <c r="I64" s="532">
        <v>20</v>
      </c>
      <c r="J64" s="531">
        <v>20</v>
      </c>
      <c r="K64" s="531">
        <v>12</v>
      </c>
      <c r="L64" s="531"/>
      <c r="M64" s="531"/>
      <c r="N64" s="531"/>
      <c r="O64" s="531"/>
      <c r="P64" s="531"/>
      <c r="S64" s="6">
        <f t="shared" si="9"/>
        <v>100</v>
      </c>
    </row>
    <row r="65" spans="1:19" ht="5.45" customHeight="1" x14ac:dyDescent="0.2"/>
    <row r="66" spans="1:19" ht="13.5" thickBot="1" x14ac:dyDescent="0.25">
      <c r="A66" s="545" t="s">
        <v>35</v>
      </c>
      <c r="B66" s="544">
        <v>8</v>
      </c>
      <c r="C66" s="543"/>
      <c r="D66" s="542"/>
      <c r="E66" s="541"/>
      <c r="F66" s="541"/>
      <c r="G66" s="541"/>
      <c r="H66" s="541"/>
      <c r="I66" s="541"/>
      <c r="J66" s="541"/>
      <c r="K66" s="541"/>
      <c r="L66" s="541"/>
      <c r="M66" s="541"/>
      <c r="N66" s="541"/>
      <c r="O66" s="541"/>
      <c r="P66" s="541"/>
    </row>
    <row r="67" spans="1:19" ht="13.5" thickTop="1" x14ac:dyDescent="0.2">
      <c r="A67" s="540" t="str">
        <f t="shared" ref="A67:A77" si="10">CONCATENATE($B$66,"|",B67)</f>
        <v>8|1</v>
      </c>
      <c r="B67" s="539">
        <v>1</v>
      </c>
      <c r="C67" s="534" t="s">
        <v>158</v>
      </c>
      <c r="D67" s="533">
        <v>1</v>
      </c>
      <c r="E67" s="537">
        <v>15</v>
      </c>
      <c r="F67" s="537">
        <v>20</v>
      </c>
      <c r="G67" s="537">
        <v>25</v>
      </c>
      <c r="H67" s="537">
        <v>25</v>
      </c>
      <c r="I67" s="537">
        <v>10</v>
      </c>
      <c r="J67" s="538">
        <v>5</v>
      </c>
      <c r="K67" s="538"/>
      <c r="L67" s="538"/>
      <c r="M67" s="538"/>
      <c r="N67" s="538"/>
      <c r="O67" s="538"/>
      <c r="P67" s="538"/>
      <c r="S67" s="6">
        <f t="shared" ref="S67:S77" si="11">SUM(E67:P67)</f>
        <v>100</v>
      </c>
    </row>
    <row r="68" spans="1:19" x14ac:dyDescent="0.2">
      <c r="A68" s="536" t="str">
        <f t="shared" si="10"/>
        <v>8|2</v>
      </c>
      <c r="B68" s="535" t="s">
        <v>90</v>
      </c>
      <c r="C68" s="534" t="s">
        <v>154</v>
      </c>
      <c r="D68" s="533">
        <v>2</v>
      </c>
      <c r="E68" s="537">
        <v>15</v>
      </c>
      <c r="F68" s="537">
        <v>20</v>
      </c>
      <c r="G68" s="537">
        <v>25</v>
      </c>
      <c r="H68" s="537">
        <v>25</v>
      </c>
      <c r="I68" s="537">
        <v>10</v>
      </c>
      <c r="J68" s="531">
        <v>5</v>
      </c>
      <c r="K68" s="531"/>
      <c r="L68" s="531"/>
      <c r="M68" s="531"/>
      <c r="N68" s="531"/>
      <c r="O68" s="531"/>
      <c r="P68" s="531"/>
      <c r="S68" s="6">
        <f t="shared" si="11"/>
        <v>100</v>
      </c>
    </row>
    <row r="69" spans="1:19" x14ac:dyDescent="0.2">
      <c r="A69" s="536" t="str">
        <f t="shared" si="10"/>
        <v>8|3</v>
      </c>
      <c r="B69" s="535" t="s">
        <v>95</v>
      </c>
      <c r="C69" s="534" t="s">
        <v>159</v>
      </c>
      <c r="D69" s="533">
        <v>3</v>
      </c>
      <c r="E69" s="532">
        <v>5</v>
      </c>
      <c r="F69" s="532">
        <v>10</v>
      </c>
      <c r="G69" s="532">
        <v>15</v>
      </c>
      <c r="H69" s="532">
        <v>20</v>
      </c>
      <c r="I69" s="532">
        <v>20</v>
      </c>
      <c r="J69" s="531">
        <v>20</v>
      </c>
      <c r="K69" s="531">
        <v>10</v>
      </c>
      <c r="L69" s="531"/>
      <c r="M69" s="531"/>
      <c r="N69" s="531"/>
      <c r="O69" s="531"/>
      <c r="P69" s="531"/>
      <c r="S69" s="6">
        <f t="shared" si="11"/>
        <v>100</v>
      </c>
    </row>
    <row r="70" spans="1:19" x14ac:dyDescent="0.2">
      <c r="A70" s="536" t="str">
        <f t="shared" si="10"/>
        <v>8|4</v>
      </c>
      <c r="B70" s="535" t="s">
        <v>97</v>
      </c>
      <c r="C70" s="534" t="s">
        <v>155</v>
      </c>
      <c r="D70" s="533">
        <v>4</v>
      </c>
      <c r="E70" s="532"/>
      <c r="F70" s="532"/>
      <c r="G70" s="532">
        <v>10</v>
      </c>
      <c r="H70" s="532">
        <v>25</v>
      </c>
      <c r="I70" s="532">
        <v>25</v>
      </c>
      <c r="J70" s="531">
        <v>20</v>
      </c>
      <c r="K70" s="531">
        <v>10</v>
      </c>
      <c r="L70" s="531">
        <v>10</v>
      </c>
      <c r="M70" s="531"/>
      <c r="N70" s="531"/>
      <c r="O70" s="531"/>
      <c r="P70" s="531"/>
      <c r="S70" s="6">
        <f t="shared" si="11"/>
        <v>100</v>
      </c>
    </row>
    <row r="71" spans="1:19" x14ac:dyDescent="0.2">
      <c r="A71" s="536" t="str">
        <f t="shared" si="10"/>
        <v>8|5</v>
      </c>
      <c r="B71" s="535" t="s">
        <v>89</v>
      </c>
      <c r="C71" s="534" t="s">
        <v>156</v>
      </c>
      <c r="D71" s="533">
        <v>5</v>
      </c>
      <c r="E71" s="532"/>
      <c r="F71" s="532">
        <v>5</v>
      </c>
      <c r="G71" s="532">
        <v>15</v>
      </c>
      <c r="H71" s="532">
        <v>25</v>
      </c>
      <c r="I71" s="532">
        <v>25</v>
      </c>
      <c r="J71" s="531">
        <v>15</v>
      </c>
      <c r="K71" s="531">
        <v>15</v>
      </c>
      <c r="L71" s="531"/>
      <c r="M71" s="531"/>
      <c r="N71" s="531"/>
      <c r="O71" s="531"/>
      <c r="P71" s="531"/>
      <c r="S71" s="6">
        <f t="shared" si="11"/>
        <v>100</v>
      </c>
    </row>
    <row r="72" spans="1:19" x14ac:dyDescent="0.2">
      <c r="A72" s="536" t="str">
        <f t="shared" si="10"/>
        <v>8|6</v>
      </c>
      <c r="B72" s="535" t="s">
        <v>98</v>
      </c>
      <c r="C72" s="534" t="s">
        <v>160</v>
      </c>
      <c r="D72" s="533">
        <v>3</v>
      </c>
      <c r="E72" s="532"/>
      <c r="F72" s="532"/>
      <c r="G72" s="532">
        <v>5</v>
      </c>
      <c r="H72" s="532">
        <v>20</v>
      </c>
      <c r="I72" s="532">
        <v>20</v>
      </c>
      <c r="J72" s="531">
        <v>25</v>
      </c>
      <c r="K72" s="531">
        <v>20</v>
      </c>
      <c r="L72" s="531">
        <v>10</v>
      </c>
      <c r="M72" s="531"/>
      <c r="N72" s="531"/>
      <c r="O72" s="531"/>
      <c r="P72" s="531"/>
      <c r="S72" s="6">
        <f t="shared" si="11"/>
        <v>100</v>
      </c>
    </row>
    <row r="73" spans="1:19" x14ac:dyDescent="0.2">
      <c r="A73" s="536" t="str">
        <f t="shared" si="10"/>
        <v>8|7</v>
      </c>
      <c r="B73" s="535" t="s">
        <v>153</v>
      </c>
      <c r="C73" s="534" t="s">
        <v>161</v>
      </c>
      <c r="D73" s="533">
        <v>5</v>
      </c>
      <c r="E73" s="532"/>
      <c r="F73" s="532"/>
      <c r="G73" s="532">
        <v>5</v>
      </c>
      <c r="H73" s="532">
        <v>15</v>
      </c>
      <c r="I73" s="532">
        <v>20</v>
      </c>
      <c r="J73" s="532">
        <v>25</v>
      </c>
      <c r="K73" s="532">
        <v>25</v>
      </c>
      <c r="L73" s="532">
        <v>10</v>
      </c>
      <c r="M73" s="531"/>
      <c r="N73" s="531"/>
      <c r="O73" s="531"/>
      <c r="P73" s="531"/>
      <c r="S73" s="6">
        <f t="shared" si="11"/>
        <v>100</v>
      </c>
    </row>
    <row r="74" spans="1:19" x14ac:dyDescent="0.2">
      <c r="A74" s="536" t="str">
        <f t="shared" si="10"/>
        <v>8|8</v>
      </c>
      <c r="B74" s="535" t="s">
        <v>110</v>
      </c>
      <c r="C74" s="534" t="s">
        <v>162</v>
      </c>
      <c r="D74" s="533">
        <v>6</v>
      </c>
      <c r="E74" s="532"/>
      <c r="F74" s="532"/>
      <c r="G74" s="532"/>
      <c r="H74" s="532">
        <v>20</v>
      </c>
      <c r="I74" s="532">
        <v>20</v>
      </c>
      <c r="J74" s="531">
        <v>30</v>
      </c>
      <c r="K74" s="531">
        <v>20</v>
      </c>
      <c r="L74" s="531">
        <v>10</v>
      </c>
      <c r="M74" s="531"/>
      <c r="N74" s="531"/>
      <c r="O74" s="531"/>
      <c r="P74" s="531"/>
      <c r="S74" s="6">
        <f t="shared" si="11"/>
        <v>100</v>
      </c>
    </row>
    <row r="75" spans="1:19" x14ac:dyDescent="0.2">
      <c r="A75" s="536" t="str">
        <f t="shared" si="10"/>
        <v>8|9</v>
      </c>
      <c r="B75" s="535" t="s">
        <v>163</v>
      </c>
      <c r="C75" s="534" t="s">
        <v>164</v>
      </c>
      <c r="D75" s="533">
        <v>6</v>
      </c>
      <c r="E75" s="532">
        <v>5</v>
      </c>
      <c r="F75" s="532">
        <v>5</v>
      </c>
      <c r="G75" s="532">
        <v>10</v>
      </c>
      <c r="H75" s="532">
        <v>15</v>
      </c>
      <c r="I75" s="532">
        <v>20</v>
      </c>
      <c r="J75" s="531">
        <v>20</v>
      </c>
      <c r="K75" s="531">
        <v>15</v>
      </c>
      <c r="L75" s="531">
        <v>10</v>
      </c>
      <c r="M75" s="531"/>
      <c r="N75" s="531"/>
      <c r="O75" s="531"/>
      <c r="P75" s="531"/>
      <c r="S75" s="6">
        <f t="shared" si="11"/>
        <v>100</v>
      </c>
    </row>
    <row r="76" spans="1:19" x14ac:dyDescent="0.2">
      <c r="A76" s="536" t="str">
        <f t="shared" si="10"/>
        <v>8|10</v>
      </c>
      <c r="B76" s="535" t="s">
        <v>165</v>
      </c>
      <c r="C76" s="534" t="s">
        <v>157</v>
      </c>
      <c r="D76" s="533"/>
      <c r="E76" s="532">
        <v>15</v>
      </c>
      <c r="F76" s="532">
        <v>20</v>
      </c>
      <c r="G76" s="532">
        <v>20</v>
      </c>
      <c r="H76" s="532">
        <v>20</v>
      </c>
      <c r="I76" s="532">
        <v>15</v>
      </c>
      <c r="J76" s="531">
        <v>10</v>
      </c>
      <c r="K76" s="531"/>
      <c r="L76" s="531"/>
      <c r="M76" s="531"/>
      <c r="N76" s="531"/>
      <c r="O76" s="531"/>
      <c r="P76" s="531"/>
      <c r="S76" s="6">
        <f t="shared" si="11"/>
        <v>100</v>
      </c>
    </row>
    <row r="77" spans="1:19" x14ac:dyDescent="0.2">
      <c r="A77" s="536" t="str">
        <f t="shared" si="10"/>
        <v>8|11</v>
      </c>
      <c r="B77" s="535" t="s">
        <v>172</v>
      </c>
      <c r="C77" s="534" t="s">
        <v>189</v>
      </c>
      <c r="D77" s="533"/>
      <c r="E77" s="532">
        <v>2</v>
      </c>
      <c r="F77" s="532">
        <v>2</v>
      </c>
      <c r="G77" s="532">
        <v>13</v>
      </c>
      <c r="H77" s="532">
        <v>15</v>
      </c>
      <c r="I77" s="532">
        <v>15</v>
      </c>
      <c r="J77" s="531">
        <v>22</v>
      </c>
      <c r="K77" s="531">
        <v>23</v>
      </c>
      <c r="L77" s="531">
        <v>8</v>
      </c>
      <c r="M77" s="531"/>
      <c r="N77" s="531"/>
      <c r="O77" s="531"/>
      <c r="P77" s="531"/>
      <c r="S77" s="6">
        <f t="shared" si="11"/>
        <v>100</v>
      </c>
    </row>
    <row r="78" spans="1:19" ht="5.45" customHeight="1" x14ac:dyDescent="0.2"/>
    <row r="79" spans="1:19" ht="13.5" thickBot="1" x14ac:dyDescent="0.25">
      <c r="A79" s="545" t="s">
        <v>35</v>
      </c>
      <c r="B79" s="544">
        <v>9</v>
      </c>
      <c r="C79" s="543"/>
      <c r="D79" s="542"/>
      <c r="E79" s="541"/>
      <c r="F79" s="541"/>
      <c r="G79" s="541"/>
      <c r="H79" s="541"/>
      <c r="I79" s="541"/>
      <c r="J79" s="541"/>
      <c r="K79" s="541"/>
      <c r="L79" s="541"/>
      <c r="M79" s="541"/>
      <c r="N79" s="541"/>
      <c r="O79" s="541"/>
      <c r="P79" s="541"/>
    </row>
    <row r="80" spans="1:19" ht="13.5" thickTop="1" x14ac:dyDescent="0.2">
      <c r="A80" s="540" t="str">
        <f t="shared" ref="A80:A90" si="12">CONCATENATE($B$79,"|",B80)</f>
        <v>9|1</v>
      </c>
      <c r="B80" s="539">
        <v>1</v>
      </c>
      <c r="C80" s="534" t="s">
        <v>158</v>
      </c>
      <c r="D80" s="533">
        <v>1</v>
      </c>
      <c r="E80" s="537">
        <v>15</v>
      </c>
      <c r="F80" s="537">
        <v>15</v>
      </c>
      <c r="G80" s="537">
        <v>20</v>
      </c>
      <c r="H80" s="537">
        <v>20</v>
      </c>
      <c r="I80" s="537">
        <v>20</v>
      </c>
      <c r="J80" s="538">
        <v>10</v>
      </c>
      <c r="K80" s="538"/>
      <c r="L80" s="538"/>
      <c r="M80" s="538"/>
      <c r="N80" s="538"/>
      <c r="O80" s="538"/>
      <c r="P80" s="538"/>
      <c r="S80" s="6">
        <f t="shared" ref="S80:S90" si="13">SUM(E80:P80)</f>
        <v>100</v>
      </c>
    </row>
    <row r="81" spans="1:19" x14ac:dyDescent="0.2">
      <c r="A81" s="536" t="str">
        <f t="shared" si="12"/>
        <v>9|2</v>
      </c>
      <c r="B81" s="535" t="s">
        <v>90</v>
      </c>
      <c r="C81" s="534" t="s">
        <v>154</v>
      </c>
      <c r="D81" s="533">
        <v>2</v>
      </c>
      <c r="E81" s="537">
        <v>10</v>
      </c>
      <c r="F81" s="537">
        <v>15</v>
      </c>
      <c r="G81" s="537">
        <v>20</v>
      </c>
      <c r="H81" s="537">
        <v>20</v>
      </c>
      <c r="I81" s="537">
        <v>15</v>
      </c>
      <c r="J81" s="531">
        <v>15</v>
      </c>
      <c r="K81" s="531">
        <v>5</v>
      </c>
      <c r="L81" s="531"/>
      <c r="M81" s="531"/>
      <c r="N81" s="531"/>
      <c r="O81" s="531"/>
      <c r="P81" s="531"/>
      <c r="S81" s="6">
        <f t="shared" si="13"/>
        <v>100</v>
      </c>
    </row>
    <row r="82" spans="1:19" x14ac:dyDescent="0.2">
      <c r="A82" s="536" t="str">
        <f t="shared" si="12"/>
        <v>9|3</v>
      </c>
      <c r="B82" s="535" t="s">
        <v>95</v>
      </c>
      <c r="C82" s="534" t="s">
        <v>159</v>
      </c>
      <c r="D82" s="533">
        <v>3</v>
      </c>
      <c r="E82" s="532">
        <v>5</v>
      </c>
      <c r="F82" s="532">
        <v>10</v>
      </c>
      <c r="G82" s="532">
        <v>15</v>
      </c>
      <c r="H82" s="532">
        <v>20</v>
      </c>
      <c r="I82" s="532">
        <v>20</v>
      </c>
      <c r="J82" s="531">
        <v>10</v>
      </c>
      <c r="K82" s="531">
        <v>10</v>
      </c>
      <c r="L82" s="531">
        <v>10</v>
      </c>
      <c r="M82" s="531"/>
      <c r="N82" s="531"/>
      <c r="O82" s="531"/>
      <c r="P82" s="531"/>
      <c r="S82" s="6">
        <f t="shared" si="13"/>
        <v>100</v>
      </c>
    </row>
    <row r="83" spans="1:19" x14ac:dyDescent="0.2">
      <c r="A83" s="536" t="str">
        <f t="shared" si="12"/>
        <v>9|4</v>
      </c>
      <c r="B83" s="535" t="s">
        <v>97</v>
      </c>
      <c r="C83" s="534" t="s">
        <v>155</v>
      </c>
      <c r="D83" s="533">
        <v>4</v>
      </c>
      <c r="E83" s="532"/>
      <c r="F83" s="532"/>
      <c r="G83" s="532">
        <v>5</v>
      </c>
      <c r="H83" s="532">
        <v>15</v>
      </c>
      <c r="I83" s="532">
        <v>20</v>
      </c>
      <c r="J83" s="531">
        <v>20</v>
      </c>
      <c r="K83" s="531">
        <v>20</v>
      </c>
      <c r="L83" s="531">
        <v>15</v>
      </c>
      <c r="M83" s="531">
        <v>5</v>
      </c>
      <c r="N83" s="531"/>
      <c r="O83" s="531"/>
      <c r="P83" s="531"/>
      <c r="S83" s="6">
        <f t="shared" si="13"/>
        <v>100</v>
      </c>
    </row>
    <row r="84" spans="1:19" x14ac:dyDescent="0.2">
      <c r="A84" s="536" t="str">
        <f t="shared" si="12"/>
        <v>9|5</v>
      </c>
      <c r="B84" s="535" t="s">
        <v>89</v>
      </c>
      <c r="C84" s="534" t="s">
        <v>156</v>
      </c>
      <c r="D84" s="533">
        <v>5</v>
      </c>
      <c r="E84" s="532"/>
      <c r="F84" s="532">
        <v>5</v>
      </c>
      <c r="G84" s="532">
        <v>10</v>
      </c>
      <c r="H84" s="532">
        <v>15</v>
      </c>
      <c r="I84" s="532">
        <v>20</v>
      </c>
      <c r="J84" s="531">
        <v>20</v>
      </c>
      <c r="K84" s="531">
        <v>20</v>
      </c>
      <c r="L84" s="531">
        <v>10</v>
      </c>
      <c r="M84" s="531"/>
      <c r="N84" s="531"/>
      <c r="O84" s="531"/>
      <c r="P84" s="531"/>
      <c r="S84" s="6">
        <f t="shared" si="13"/>
        <v>100</v>
      </c>
    </row>
    <row r="85" spans="1:19" x14ac:dyDescent="0.2">
      <c r="A85" s="536" t="str">
        <f t="shared" si="12"/>
        <v>9|6</v>
      </c>
      <c r="B85" s="535" t="s">
        <v>98</v>
      </c>
      <c r="C85" s="534" t="s">
        <v>160</v>
      </c>
      <c r="D85" s="533">
        <v>3</v>
      </c>
      <c r="E85" s="532"/>
      <c r="F85" s="532"/>
      <c r="G85" s="532">
        <v>5</v>
      </c>
      <c r="H85" s="532">
        <v>10</v>
      </c>
      <c r="I85" s="532">
        <v>20</v>
      </c>
      <c r="J85" s="531">
        <v>20</v>
      </c>
      <c r="K85" s="531">
        <v>20</v>
      </c>
      <c r="L85" s="531">
        <v>15</v>
      </c>
      <c r="M85" s="531">
        <v>10</v>
      </c>
      <c r="N85" s="531"/>
      <c r="O85" s="531"/>
      <c r="P85" s="531"/>
      <c r="S85" s="6">
        <f t="shared" si="13"/>
        <v>100</v>
      </c>
    </row>
    <row r="86" spans="1:19" x14ac:dyDescent="0.2">
      <c r="A86" s="536" t="str">
        <f t="shared" si="12"/>
        <v>9|7</v>
      </c>
      <c r="B86" s="535" t="s">
        <v>153</v>
      </c>
      <c r="C86" s="534" t="s">
        <v>161</v>
      </c>
      <c r="D86" s="533">
        <v>5</v>
      </c>
      <c r="E86" s="532"/>
      <c r="F86" s="532"/>
      <c r="G86" s="532"/>
      <c r="H86" s="532">
        <v>15</v>
      </c>
      <c r="I86" s="532">
        <v>15</v>
      </c>
      <c r="J86" s="531">
        <v>15</v>
      </c>
      <c r="K86" s="531">
        <v>20</v>
      </c>
      <c r="L86" s="531">
        <v>20</v>
      </c>
      <c r="M86" s="531">
        <v>15</v>
      </c>
      <c r="N86" s="531"/>
      <c r="O86" s="531"/>
      <c r="P86" s="531"/>
      <c r="S86" s="6">
        <f t="shared" si="13"/>
        <v>100</v>
      </c>
    </row>
    <row r="87" spans="1:19" x14ac:dyDescent="0.2">
      <c r="A87" s="536" t="str">
        <f t="shared" si="12"/>
        <v>9|8</v>
      </c>
      <c r="B87" s="535" t="s">
        <v>110</v>
      </c>
      <c r="C87" s="534" t="s">
        <v>162</v>
      </c>
      <c r="D87" s="533">
        <v>6</v>
      </c>
      <c r="E87" s="532"/>
      <c r="F87" s="532"/>
      <c r="G87" s="532"/>
      <c r="H87" s="532">
        <v>10</v>
      </c>
      <c r="I87" s="532">
        <v>20</v>
      </c>
      <c r="J87" s="531">
        <v>30</v>
      </c>
      <c r="K87" s="531">
        <v>20</v>
      </c>
      <c r="L87" s="531">
        <v>10</v>
      </c>
      <c r="M87" s="531">
        <v>10</v>
      </c>
      <c r="N87" s="531"/>
      <c r="O87" s="531"/>
      <c r="P87" s="531"/>
      <c r="S87" s="6">
        <f t="shared" si="13"/>
        <v>100</v>
      </c>
    </row>
    <row r="88" spans="1:19" x14ac:dyDescent="0.2">
      <c r="A88" s="536" t="str">
        <f t="shared" si="12"/>
        <v>9|9</v>
      </c>
      <c r="B88" s="535" t="s">
        <v>163</v>
      </c>
      <c r="C88" s="534" t="s">
        <v>164</v>
      </c>
      <c r="D88" s="533">
        <v>6</v>
      </c>
      <c r="E88" s="532">
        <v>5</v>
      </c>
      <c r="F88" s="532">
        <v>5</v>
      </c>
      <c r="G88" s="532">
        <v>10</v>
      </c>
      <c r="H88" s="532">
        <v>15</v>
      </c>
      <c r="I88" s="532">
        <v>20</v>
      </c>
      <c r="J88" s="531">
        <v>15</v>
      </c>
      <c r="K88" s="531">
        <v>15</v>
      </c>
      <c r="L88" s="531">
        <v>15</v>
      </c>
      <c r="M88" s="531"/>
      <c r="N88" s="531"/>
      <c r="O88" s="531"/>
      <c r="P88" s="531"/>
      <c r="S88" s="6">
        <f t="shared" si="13"/>
        <v>100</v>
      </c>
    </row>
    <row r="89" spans="1:19" x14ac:dyDescent="0.2">
      <c r="A89" s="536" t="str">
        <f t="shared" si="12"/>
        <v>9|10</v>
      </c>
      <c r="B89" s="535" t="s">
        <v>165</v>
      </c>
      <c r="C89" s="534" t="s">
        <v>157</v>
      </c>
      <c r="D89" s="533"/>
      <c r="E89" s="532">
        <v>10</v>
      </c>
      <c r="F89" s="532">
        <v>15</v>
      </c>
      <c r="G89" s="532">
        <v>20</v>
      </c>
      <c r="H89" s="532">
        <v>20</v>
      </c>
      <c r="I89" s="532">
        <v>20</v>
      </c>
      <c r="J89" s="531">
        <v>10</v>
      </c>
      <c r="K89" s="531">
        <v>5</v>
      </c>
      <c r="L89" s="531"/>
      <c r="M89" s="531"/>
      <c r="N89" s="531"/>
      <c r="O89" s="531"/>
      <c r="P89" s="531"/>
      <c r="S89" s="6">
        <f t="shared" si="13"/>
        <v>100</v>
      </c>
    </row>
    <row r="90" spans="1:19" x14ac:dyDescent="0.2">
      <c r="A90" s="536" t="str">
        <f t="shared" si="12"/>
        <v>9|11</v>
      </c>
      <c r="B90" s="535" t="s">
        <v>172</v>
      </c>
      <c r="C90" s="534" t="s">
        <v>189</v>
      </c>
      <c r="D90" s="533"/>
      <c r="E90" s="532">
        <v>3</v>
      </c>
      <c r="F90" s="532">
        <v>5</v>
      </c>
      <c r="G90" s="532">
        <v>11</v>
      </c>
      <c r="H90" s="532">
        <v>15</v>
      </c>
      <c r="I90" s="532">
        <v>20</v>
      </c>
      <c r="J90" s="531">
        <v>16</v>
      </c>
      <c r="K90" s="531">
        <v>14</v>
      </c>
      <c r="L90" s="531">
        <v>10</v>
      </c>
      <c r="M90" s="531">
        <v>6</v>
      </c>
      <c r="N90" s="531"/>
      <c r="O90" s="531"/>
      <c r="P90" s="531"/>
      <c r="S90" s="6">
        <f t="shared" si="13"/>
        <v>100</v>
      </c>
    </row>
    <row r="91" spans="1:19" ht="5.45" customHeight="1" x14ac:dyDescent="0.2"/>
    <row r="92" spans="1:19" ht="13.5" thickBot="1" x14ac:dyDescent="0.25">
      <c r="A92" s="545" t="s">
        <v>35</v>
      </c>
      <c r="B92" s="544">
        <v>10</v>
      </c>
      <c r="C92" s="543"/>
      <c r="D92" s="542"/>
      <c r="E92" s="541"/>
      <c r="F92" s="541"/>
      <c r="G92" s="541"/>
      <c r="H92" s="541"/>
      <c r="I92" s="541"/>
      <c r="J92" s="541"/>
      <c r="K92" s="541"/>
      <c r="L92" s="541"/>
      <c r="M92" s="541"/>
      <c r="N92" s="541"/>
      <c r="O92" s="541"/>
      <c r="P92" s="541"/>
    </row>
    <row r="93" spans="1:19" ht="13.5" thickTop="1" x14ac:dyDescent="0.2">
      <c r="A93" s="540" t="str">
        <f t="shared" ref="A93:A103" si="14">CONCATENATE($B$92,"|",B93)</f>
        <v>10|1</v>
      </c>
      <c r="B93" s="539">
        <v>1</v>
      </c>
      <c r="C93" s="534" t="s">
        <v>158</v>
      </c>
      <c r="D93" s="533">
        <v>1</v>
      </c>
      <c r="E93" s="537">
        <v>20</v>
      </c>
      <c r="F93" s="537">
        <v>20</v>
      </c>
      <c r="G93" s="537">
        <v>20</v>
      </c>
      <c r="H93" s="537">
        <v>10</v>
      </c>
      <c r="I93" s="537">
        <v>10</v>
      </c>
      <c r="J93" s="538">
        <v>10</v>
      </c>
      <c r="K93" s="538">
        <v>10</v>
      </c>
      <c r="L93" s="538"/>
      <c r="M93" s="538"/>
      <c r="N93" s="538"/>
      <c r="O93" s="538"/>
      <c r="P93" s="538"/>
      <c r="S93" s="6">
        <f t="shared" ref="S93:S103" si="15">SUM(E93:P93)</f>
        <v>100</v>
      </c>
    </row>
    <row r="94" spans="1:19" x14ac:dyDescent="0.2">
      <c r="A94" s="536" t="str">
        <f t="shared" si="14"/>
        <v>10|2</v>
      </c>
      <c r="B94" s="535" t="s">
        <v>90</v>
      </c>
      <c r="C94" s="534" t="s">
        <v>154</v>
      </c>
      <c r="D94" s="533">
        <v>2</v>
      </c>
      <c r="E94" s="537">
        <v>5</v>
      </c>
      <c r="F94" s="537">
        <v>10</v>
      </c>
      <c r="G94" s="537">
        <v>15</v>
      </c>
      <c r="H94" s="537">
        <v>20</v>
      </c>
      <c r="I94" s="537">
        <v>20</v>
      </c>
      <c r="J94" s="531">
        <v>15</v>
      </c>
      <c r="K94" s="531">
        <v>10</v>
      </c>
      <c r="L94" s="531">
        <v>5</v>
      </c>
      <c r="M94" s="531"/>
      <c r="N94" s="531"/>
      <c r="O94" s="531"/>
      <c r="P94" s="531"/>
      <c r="S94" s="6">
        <f t="shared" si="15"/>
        <v>100</v>
      </c>
    </row>
    <row r="95" spans="1:19" x14ac:dyDescent="0.2">
      <c r="A95" s="536" t="str">
        <f t="shared" si="14"/>
        <v>10|3</v>
      </c>
      <c r="B95" s="535" t="s">
        <v>95</v>
      </c>
      <c r="C95" s="534" t="s">
        <v>159</v>
      </c>
      <c r="D95" s="533">
        <v>3</v>
      </c>
      <c r="E95" s="532"/>
      <c r="F95" s="532">
        <v>5</v>
      </c>
      <c r="G95" s="532">
        <v>10</v>
      </c>
      <c r="H95" s="532">
        <v>15</v>
      </c>
      <c r="I95" s="532">
        <v>15</v>
      </c>
      <c r="J95" s="531">
        <v>15</v>
      </c>
      <c r="K95" s="531">
        <v>15</v>
      </c>
      <c r="L95" s="531">
        <v>15</v>
      </c>
      <c r="M95" s="531">
        <v>10</v>
      </c>
      <c r="N95" s="531"/>
      <c r="O95" s="531"/>
      <c r="P95" s="531"/>
      <c r="S95" s="6">
        <f t="shared" si="15"/>
        <v>100</v>
      </c>
    </row>
    <row r="96" spans="1:19" x14ac:dyDescent="0.2">
      <c r="A96" s="536" t="str">
        <f t="shared" si="14"/>
        <v>10|4</v>
      </c>
      <c r="B96" s="535" t="s">
        <v>97</v>
      </c>
      <c r="C96" s="534" t="s">
        <v>155</v>
      </c>
      <c r="D96" s="533">
        <v>4</v>
      </c>
      <c r="E96" s="532"/>
      <c r="F96" s="532"/>
      <c r="G96" s="532">
        <v>5</v>
      </c>
      <c r="H96" s="532">
        <v>5</v>
      </c>
      <c r="I96" s="532">
        <v>15</v>
      </c>
      <c r="J96" s="531">
        <v>20</v>
      </c>
      <c r="K96" s="531">
        <v>20</v>
      </c>
      <c r="L96" s="531">
        <v>15</v>
      </c>
      <c r="M96" s="531">
        <v>10</v>
      </c>
      <c r="N96" s="531">
        <v>10</v>
      </c>
      <c r="O96" s="531"/>
      <c r="P96" s="531"/>
      <c r="S96" s="6">
        <f t="shared" si="15"/>
        <v>100</v>
      </c>
    </row>
    <row r="97" spans="1:19" x14ac:dyDescent="0.2">
      <c r="A97" s="536" t="str">
        <f t="shared" si="14"/>
        <v>10|5</v>
      </c>
      <c r="B97" s="535" t="s">
        <v>89</v>
      </c>
      <c r="C97" s="534" t="s">
        <v>156</v>
      </c>
      <c r="D97" s="533">
        <v>5</v>
      </c>
      <c r="E97" s="532"/>
      <c r="F97" s="532"/>
      <c r="G97" s="532">
        <v>10</v>
      </c>
      <c r="H97" s="532">
        <v>10</v>
      </c>
      <c r="I97" s="532">
        <v>10</v>
      </c>
      <c r="J97" s="531">
        <v>20</v>
      </c>
      <c r="K97" s="531">
        <v>20</v>
      </c>
      <c r="L97" s="531">
        <v>20</v>
      </c>
      <c r="M97" s="531">
        <v>10</v>
      </c>
      <c r="N97" s="531"/>
      <c r="O97" s="531"/>
      <c r="P97" s="531"/>
      <c r="S97" s="6">
        <f t="shared" si="15"/>
        <v>100</v>
      </c>
    </row>
    <row r="98" spans="1:19" x14ac:dyDescent="0.2">
      <c r="A98" s="536" t="str">
        <f t="shared" si="14"/>
        <v>10|6</v>
      </c>
      <c r="B98" s="535" t="s">
        <v>98</v>
      </c>
      <c r="C98" s="534" t="s">
        <v>160</v>
      </c>
      <c r="D98" s="533">
        <v>3</v>
      </c>
      <c r="E98" s="532"/>
      <c r="F98" s="532"/>
      <c r="G98" s="532"/>
      <c r="H98" s="532">
        <v>5</v>
      </c>
      <c r="I98" s="532">
        <v>10</v>
      </c>
      <c r="J98" s="532">
        <v>15</v>
      </c>
      <c r="K98" s="531">
        <v>20</v>
      </c>
      <c r="L98" s="531">
        <v>20</v>
      </c>
      <c r="M98" s="531">
        <v>15</v>
      </c>
      <c r="N98" s="531">
        <v>15</v>
      </c>
      <c r="O98" s="531"/>
      <c r="P98" s="531"/>
      <c r="S98" s="6">
        <f t="shared" si="15"/>
        <v>100</v>
      </c>
    </row>
    <row r="99" spans="1:19" x14ac:dyDescent="0.2">
      <c r="A99" s="536" t="str">
        <f t="shared" si="14"/>
        <v>10|7</v>
      </c>
      <c r="B99" s="535" t="s">
        <v>153</v>
      </c>
      <c r="C99" s="534" t="s">
        <v>161</v>
      </c>
      <c r="D99" s="533">
        <v>5</v>
      </c>
      <c r="E99" s="532"/>
      <c r="F99" s="532"/>
      <c r="G99" s="532"/>
      <c r="H99" s="532">
        <v>15</v>
      </c>
      <c r="I99" s="532">
        <v>15</v>
      </c>
      <c r="J99" s="531">
        <v>15</v>
      </c>
      <c r="K99" s="531">
        <v>20</v>
      </c>
      <c r="L99" s="531">
        <v>15</v>
      </c>
      <c r="M99" s="531">
        <v>10</v>
      </c>
      <c r="N99" s="531">
        <v>10</v>
      </c>
      <c r="O99" s="531"/>
      <c r="P99" s="531"/>
      <c r="S99" s="6">
        <f t="shared" si="15"/>
        <v>100</v>
      </c>
    </row>
    <row r="100" spans="1:19" x14ac:dyDescent="0.2">
      <c r="A100" s="536" t="str">
        <f t="shared" si="14"/>
        <v>10|8</v>
      </c>
      <c r="B100" s="535" t="s">
        <v>110</v>
      </c>
      <c r="C100" s="534" t="s">
        <v>162</v>
      </c>
      <c r="D100" s="533">
        <v>6</v>
      </c>
      <c r="E100" s="532"/>
      <c r="F100" s="532"/>
      <c r="G100" s="532"/>
      <c r="H100" s="532">
        <v>10</v>
      </c>
      <c r="I100" s="532">
        <v>20</v>
      </c>
      <c r="J100" s="531">
        <v>20</v>
      </c>
      <c r="K100" s="531">
        <v>20</v>
      </c>
      <c r="L100" s="531">
        <v>10</v>
      </c>
      <c r="M100" s="531">
        <v>10</v>
      </c>
      <c r="N100" s="531">
        <v>10</v>
      </c>
      <c r="O100" s="531"/>
      <c r="P100" s="531"/>
      <c r="S100" s="6">
        <f t="shared" si="15"/>
        <v>100</v>
      </c>
    </row>
    <row r="101" spans="1:19" x14ac:dyDescent="0.2">
      <c r="A101" s="536" t="str">
        <f t="shared" si="14"/>
        <v>10|9</v>
      </c>
      <c r="B101" s="535" t="s">
        <v>163</v>
      </c>
      <c r="C101" s="534" t="s">
        <v>164</v>
      </c>
      <c r="D101" s="533">
        <v>6</v>
      </c>
      <c r="E101" s="532">
        <v>5</v>
      </c>
      <c r="F101" s="532">
        <v>5</v>
      </c>
      <c r="G101" s="532">
        <v>10</v>
      </c>
      <c r="H101" s="532">
        <v>10</v>
      </c>
      <c r="I101" s="532">
        <v>10</v>
      </c>
      <c r="J101" s="531">
        <v>15</v>
      </c>
      <c r="K101" s="531">
        <v>15</v>
      </c>
      <c r="L101" s="531">
        <v>10</v>
      </c>
      <c r="M101" s="531">
        <v>10</v>
      </c>
      <c r="N101" s="531">
        <v>10</v>
      </c>
      <c r="O101" s="531"/>
      <c r="P101" s="531"/>
      <c r="S101" s="6">
        <f t="shared" si="15"/>
        <v>100</v>
      </c>
    </row>
    <row r="102" spans="1:19" x14ac:dyDescent="0.2">
      <c r="A102" s="536" t="str">
        <f t="shared" si="14"/>
        <v>10|10</v>
      </c>
      <c r="B102" s="535" t="s">
        <v>165</v>
      </c>
      <c r="C102" s="534" t="s">
        <v>157</v>
      </c>
      <c r="D102" s="533"/>
      <c r="E102" s="532">
        <v>10</v>
      </c>
      <c r="F102" s="532">
        <v>15</v>
      </c>
      <c r="G102" s="532">
        <v>15</v>
      </c>
      <c r="H102" s="532">
        <v>15</v>
      </c>
      <c r="I102" s="532">
        <v>15</v>
      </c>
      <c r="J102" s="531">
        <v>15</v>
      </c>
      <c r="K102" s="531">
        <v>10</v>
      </c>
      <c r="L102" s="531">
        <v>5</v>
      </c>
      <c r="M102" s="531"/>
      <c r="N102" s="531"/>
      <c r="O102" s="531"/>
      <c r="P102" s="531"/>
      <c r="S102" s="6">
        <f t="shared" si="15"/>
        <v>100</v>
      </c>
    </row>
    <row r="103" spans="1:19" x14ac:dyDescent="0.2">
      <c r="A103" s="536" t="str">
        <f t="shared" si="14"/>
        <v>10|11</v>
      </c>
      <c r="B103" s="535" t="s">
        <v>172</v>
      </c>
      <c r="C103" s="534" t="s">
        <v>189</v>
      </c>
      <c r="D103" s="533"/>
      <c r="E103" s="532">
        <v>2</v>
      </c>
      <c r="F103" s="532">
        <v>2</v>
      </c>
      <c r="G103" s="532">
        <v>14</v>
      </c>
      <c r="H103" s="532">
        <v>14</v>
      </c>
      <c r="I103" s="532">
        <v>15</v>
      </c>
      <c r="J103" s="531">
        <v>15</v>
      </c>
      <c r="K103" s="531">
        <v>15</v>
      </c>
      <c r="L103" s="531">
        <v>15</v>
      </c>
      <c r="M103" s="531">
        <v>5</v>
      </c>
      <c r="N103" s="531">
        <v>3</v>
      </c>
      <c r="O103" s="531"/>
      <c r="P103" s="531"/>
      <c r="S103" s="6">
        <f t="shared" si="15"/>
        <v>100</v>
      </c>
    </row>
    <row r="104" spans="1:19" ht="5.45" customHeight="1" x14ac:dyDescent="0.2"/>
    <row r="105" spans="1:19" ht="13.5" thickBot="1" x14ac:dyDescent="0.25">
      <c r="A105" s="545" t="s">
        <v>35</v>
      </c>
      <c r="B105" s="544">
        <v>11</v>
      </c>
      <c r="C105" s="543"/>
      <c r="D105" s="542"/>
      <c r="E105" s="541"/>
      <c r="F105" s="541"/>
      <c r="G105" s="541"/>
      <c r="H105" s="541"/>
      <c r="I105" s="541"/>
      <c r="J105" s="541"/>
      <c r="K105" s="541"/>
      <c r="L105" s="541"/>
      <c r="M105" s="541"/>
      <c r="N105" s="541"/>
      <c r="O105" s="541"/>
      <c r="P105" s="541"/>
    </row>
    <row r="106" spans="1:19" ht="13.5" thickTop="1" x14ac:dyDescent="0.2">
      <c r="A106" s="540" t="str">
        <f t="shared" ref="A106:A116" si="16">CONCATENATE($B$105,"|",B106)</f>
        <v>11|1</v>
      </c>
      <c r="B106" s="539">
        <v>1</v>
      </c>
      <c r="C106" s="534" t="s">
        <v>158</v>
      </c>
      <c r="D106" s="533">
        <v>1</v>
      </c>
      <c r="E106" s="537">
        <v>10</v>
      </c>
      <c r="F106" s="537">
        <v>20</v>
      </c>
      <c r="G106" s="537">
        <v>20</v>
      </c>
      <c r="H106" s="537">
        <v>20</v>
      </c>
      <c r="I106" s="537">
        <v>10</v>
      </c>
      <c r="J106" s="538">
        <v>10</v>
      </c>
      <c r="K106" s="538">
        <v>10</v>
      </c>
      <c r="L106" s="538"/>
      <c r="M106" s="538"/>
      <c r="N106" s="538"/>
      <c r="O106" s="538"/>
      <c r="P106" s="538"/>
      <c r="S106" s="6">
        <f t="shared" ref="S106:S116" si="17">SUM(E106:P106)</f>
        <v>100</v>
      </c>
    </row>
    <row r="107" spans="1:19" x14ac:dyDescent="0.2">
      <c r="A107" s="536" t="str">
        <f t="shared" si="16"/>
        <v>11|2</v>
      </c>
      <c r="B107" s="535" t="s">
        <v>90</v>
      </c>
      <c r="C107" s="534" t="s">
        <v>154</v>
      </c>
      <c r="D107" s="533">
        <v>2</v>
      </c>
      <c r="E107" s="537">
        <v>5</v>
      </c>
      <c r="F107" s="537">
        <v>10</v>
      </c>
      <c r="G107" s="537">
        <v>10</v>
      </c>
      <c r="H107" s="537">
        <v>15</v>
      </c>
      <c r="I107" s="537">
        <v>15</v>
      </c>
      <c r="J107" s="531">
        <v>15</v>
      </c>
      <c r="K107" s="531">
        <v>15</v>
      </c>
      <c r="L107" s="531">
        <v>10</v>
      </c>
      <c r="M107" s="531">
        <v>5</v>
      </c>
      <c r="N107" s="531"/>
      <c r="O107" s="531"/>
      <c r="P107" s="531"/>
      <c r="S107" s="6">
        <f t="shared" si="17"/>
        <v>100</v>
      </c>
    </row>
    <row r="108" spans="1:19" x14ac:dyDescent="0.2">
      <c r="A108" s="536" t="str">
        <f t="shared" si="16"/>
        <v>11|3</v>
      </c>
      <c r="B108" s="535" t="s">
        <v>95</v>
      </c>
      <c r="C108" s="534" t="s">
        <v>159</v>
      </c>
      <c r="D108" s="533">
        <v>3</v>
      </c>
      <c r="E108" s="532"/>
      <c r="F108" s="532">
        <v>5</v>
      </c>
      <c r="G108" s="532">
        <v>10</v>
      </c>
      <c r="H108" s="532">
        <v>10</v>
      </c>
      <c r="I108" s="532">
        <v>15</v>
      </c>
      <c r="J108" s="531">
        <v>15</v>
      </c>
      <c r="K108" s="531">
        <v>15</v>
      </c>
      <c r="L108" s="531">
        <v>10</v>
      </c>
      <c r="M108" s="531">
        <v>10</v>
      </c>
      <c r="N108" s="531">
        <v>10</v>
      </c>
      <c r="O108" s="531"/>
      <c r="P108" s="531"/>
      <c r="S108" s="6">
        <f t="shared" si="17"/>
        <v>100</v>
      </c>
    </row>
    <row r="109" spans="1:19" x14ac:dyDescent="0.2">
      <c r="A109" s="536" t="str">
        <f t="shared" si="16"/>
        <v>11|4</v>
      </c>
      <c r="B109" s="535" t="s">
        <v>97</v>
      </c>
      <c r="C109" s="534" t="s">
        <v>155</v>
      </c>
      <c r="D109" s="533">
        <v>4</v>
      </c>
      <c r="E109" s="532"/>
      <c r="F109" s="532"/>
      <c r="G109" s="532">
        <v>5</v>
      </c>
      <c r="H109" s="532">
        <v>10</v>
      </c>
      <c r="I109" s="532">
        <v>10</v>
      </c>
      <c r="J109" s="531">
        <v>15</v>
      </c>
      <c r="K109" s="531">
        <v>15</v>
      </c>
      <c r="L109" s="531">
        <v>15</v>
      </c>
      <c r="M109" s="531">
        <v>10</v>
      </c>
      <c r="N109" s="531">
        <v>10</v>
      </c>
      <c r="O109" s="531">
        <v>10</v>
      </c>
      <c r="P109" s="531"/>
      <c r="S109" s="6">
        <f t="shared" si="17"/>
        <v>100</v>
      </c>
    </row>
    <row r="110" spans="1:19" x14ac:dyDescent="0.2">
      <c r="A110" s="536" t="str">
        <f t="shared" si="16"/>
        <v>11|5</v>
      </c>
      <c r="B110" s="535" t="s">
        <v>89</v>
      </c>
      <c r="C110" s="534" t="s">
        <v>156</v>
      </c>
      <c r="D110" s="533">
        <v>5</v>
      </c>
      <c r="E110" s="532"/>
      <c r="F110" s="532"/>
      <c r="G110" s="532">
        <v>10</v>
      </c>
      <c r="H110" s="532">
        <v>10</v>
      </c>
      <c r="I110" s="532">
        <v>10</v>
      </c>
      <c r="J110" s="531">
        <v>15</v>
      </c>
      <c r="K110" s="531">
        <v>15</v>
      </c>
      <c r="L110" s="531">
        <v>15</v>
      </c>
      <c r="M110" s="531">
        <v>15</v>
      </c>
      <c r="N110" s="531">
        <v>10</v>
      </c>
      <c r="O110" s="531"/>
      <c r="P110" s="531"/>
      <c r="S110" s="6">
        <f t="shared" si="17"/>
        <v>100</v>
      </c>
    </row>
    <row r="111" spans="1:19" x14ac:dyDescent="0.2">
      <c r="A111" s="536" t="str">
        <f t="shared" si="16"/>
        <v>11|6</v>
      </c>
      <c r="B111" s="535" t="s">
        <v>98</v>
      </c>
      <c r="C111" s="534" t="s">
        <v>160</v>
      </c>
      <c r="D111" s="533">
        <v>3</v>
      </c>
      <c r="E111" s="532"/>
      <c r="F111" s="532"/>
      <c r="G111" s="532"/>
      <c r="H111" s="532">
        <v>5</v>
      </c>
      <c r="I111" s="532">
        <v>10</v>
      </c>
      <c r="J111" s="532">
        <v>15</v>
      </c>
      <c r="K111" s="531">
        <v>15</v>
      </c>
      <c r="L111" s="531">
        <v>15</v>
      </c>
      <c r="M111" s="531">
        <v>15</v>
      </c>
      <c r="N111" s="531">
        <v>15</v>
      </c>
      <c r="O111" s="531">
        <v>10</v>
      </c>
      <c r="P111" s="531"/>
      <c r="S111" s="6">
        <f t="shared" si="17"/>
        <v>100</v>
      </c>
    </row>
    <row r="112" spans="1:19" x14ac:dyDescent="0.2">
      <c r="A112" s="536" t="str">
        <f t="shared" si="16"/>
        <v>11|7</v>
      </c>
      <c r="B112" s="535" t="s">
        <v>153</v>
      </c>
      <c r="C112" s="534" t="s">
        <v>161</v>
      </c>
      <c r="D112" s="533">
        <v>5</v>
      </c>
      <c r="E112" s="532"/>
      <c r="F112" s="532"/>
      <c r="G112" s="532"/>
      <c r="H112" s="532">
        <v>10</v>
      </c>
      <c r="I112" s="532">
        <v>10</v>
      </c>
      <c r="J112" s="531">
        <v>15</v>
      </c>
      <c r="K112" s="531">
        <v>20</v>
      </c>
      <c r="L112" s="531">
        <v>15</v>
      </c>
      <c r="M112" s="531">
        <v>10</v>
      </c>
      <c r="N112" s="531">
        <v>10</v>
      </c>
      <c r="O112" s="531">
        <v>10</v>
      </c>
      <c r="P112" s="531"/>
      <c r="S112" s="6">
        <f t="shared" si="17"/>
        <v>100</v>
      </c>
    </row>
    <row r="113" spans="1:19" x14ac:dyDescent="0.2">
      <c r="A113" s="536" t="str">
        <f t="shared" si="16"/>
        <v>11|8</v>
      </c>
      <c r="B113" s="535" t="s">
        <v>110</v>
      </c>
      <c r="C113" s="534" t="s">
        <v>162</v>
      </c>
      <c r="D113" s="533">
        <v>6</v>
      </c>
      <c r="E113" s="532"/>
      <c r="F113" s="532"/>
      <c r="G113" s="532"/>
      <c r="H113" s="532">
        <v>10</v>
      </c>
      <c r="I113" s="532">
        <v>10</v>
      </c>
      <c r="J113" s="531">
        <v>20</v>
      </c>
      <c r="K113" s="531">
        <v>20</v>
      </c>
      <c r="L113" s="531">
        <v>10</v>
      </c>
      <c r="M113" s="531">
        <v>10</v>
      </c>
      <c r="N113" s="531">
        <v>10</v>
      </c>
      <c r="O113" s="531">
        <v>10</v>
      </c>
      <c r="P113" s="531"/>
      <c r="S113" s="6">
        <f t="shared" si="17"/>
        <v>100</v>
      </c>
    </row>
    <row r="114" spans="1:19" x14ac:dyDescent="0.2">
      <c r="A114" s="536" t="str">
        <f t="shared" si="16"/>
        <v>11|9</v>
      </c>
      <c r="B114" s="535" t="s">
        <v>163</v>
      </c>
      <c r="C114" s="534" t="s">
        <v>164</v>
      </c>
      <c r="D114" s="533">
        <v>6</v>
      </c>
      <c r="E114" s="532">
        <v>5</v>
      </c>
      <c r="F114" s="532">
        <v>5</v>
      </c>
      <c r="G114" s="532">
        <v>10</v>
      </c>
      <c r="H114" s="532">
        <v>10</v>
      </c>
      <c r="I114" s="532">
        <v>10</v>
      </c>
      <c r="J114" s="531">
        <v>10</v>
      </c>
      <c r="K114" s="531">
        <v>10</v>
      </c>
      <c r="L114" s="531">
        <v>10</v>
      </c>
      <c r="M114" s="531">
        <v>10</v>
      </c>
      <c r="N114" s="531">
        <v>10</v>
      </c>
      <c r="O114" s="531">
        <v>10</v>
      </c>
      <c r="P114" s="531"/>
      <c r="S114" s="6">
        <f t="shared" si="17"/>
        <v>100</v>
      </c>
    </row>
    <row r="115" spans="1:19" x14ac:dyDescent="0.2">
      <c r="A115" s="536" t="str">
        <f t="shared" si="16"/>
        <v>11|10</v>
      </c>
      <c r="B115" s="535" t="s">
        <v>165</v>
      </c>
      <c r="C115" s="534" t="s">
        <v>157</v>
      </c>
      <c r="D115" s="533"/>
      <c r="E115" s="532">
        <v>10</v>
      </c>
      <c r="F115" s="532">
        <v>10</v>
      </c>
      <c r="G115" s="532">
        <v>15</v>
      </c>
      <c r="H115" s="532">
        <v>15</v>
      </c>
      <c r="I115" s="532">
        <v>15</v>
      </c>
      <c r="J115" s="531">
        <v>10</v>
      </c>
      <c r="K115" s="531">
        <v>10</v>
      </c>
      <c r="L115" s="531">
        <v>10</v>
      </c>
      <c r="M115" s="531">
        <v>5</v>
      </c>
      <c r="N115" s="531"/>
      <c r="O115" s="531"/>
      <c r="P115" s="531"/>
      <c r="S115" s="6">
        <f t="shared" si="17"/>
        <v>100</v>
      </c>
    </row>
    <row r="116" spans="1:19" x14ac:dyDescent="0.2">
      <c r="A116" s="536" t="str">
        <f t="shared" si="16"/>
        <v>11|11</v>
      </c>
      <c r="B116" s="535" t="s">
        <v>172</v>
      </c>
      <c r="C116" s="534" t="s">
        <v>189</v>
      </c>
      <c r="D116" s="533"/>
      <c r="E116" s="532">
        <v>1</v>
      </c>
      <c r="F116" s="532">
        <v>1</v>
      </c>
      <c r="G116" s="532">
        <v>10</v>
      </c>
      <c r="H116" s="532">
        <v>15</v>
      </c>
      <c r="I116" s="532">
        <v>15</v>
      </c>
      <c r="J116" s="531">
        <v>15</v>
      </c>
      <c r="K116" s="531">
        <v>15</v>
      </c>
      <c r="L116" s="531">
        <v>15</v>
      </c>
      <c r="M116" s="531">
        <v>5</v>
      </c>
      <c r="N116" s="531">
        <v>3</v>
      </c>
      <c r="O116" s="531">
        <v>5</v>
      </c>
      <c r="P116" s="531"/>
      <c r="S116" s="6">
        <f t="shared" si="17"/>
        <v>100</v>
      </c>
    </row>
    <row r="117" spans="1:19" ht="5.45" customHeight="1" x14ac:dyDescent="0.2"/>
    <row r="118" spans="1:19" ht="13.5" thickBot="1" x14ac:dyDescent="0.25">
      <c r="A118" s="545" t="s">
        <v>35</v>
      </c>
      <c r="B118" s="544">
        <v>12</v>
      </c>
      <c r="C118" s="543"/>
      <c r="D118" s="542"/>
      <c r="E118" s="541"/>
      <c r="F118" s="541"/>
      <c r="G118" s="541"/>
      <c r="H118" s="541"/>
      <c r="I118" s="541"/>
      <c r="J118" s="541"/>
      <c r="K118" s="541"/>
      <c r="L118" s="541"/>
      <c r="M118" s="541"/>
      <c r="N118" s="541"/>
      <c r="O118" s="541"/>
      <c r="P118" s="541"/>
    </row>
    <row r="119" spans="1:19" ht="13.5" thickTop="1" x14ac:dyDescent="0.2">
      <c r="A119" s="540" t="str">
        <f t="shared" ref="A119:A129" si="18">CONCATENATE($B$118,"|",B119)</f>
        <v>12|1</v>
      </c>
      <c r="B119" s="539">
        <v>1</v>
      </c>
      <c r="C119" s="534" t="s">
        <v>158</v>
      </c>
      <c r="D119" s="533">
        <v>1</v>
      </c>
      <c r="E119" s="537">
        <v>10</v>
      </c>
      <c r="F119" s="537">
        <v>20</v>
      </c>
      <c r="G119" s="537">
        <v>20</v>
      </c>
      <c r="H119" s="537">
        <v>20</v>
      </c>
      <c r="I119" s="537">
        <v>10</v>
      </c>
      <c r="J119" s="538">
        <v>10</v>
      </c>
      <c r="K119" s="538">
        <v>10</v>
      </c>
      <c r="L119" s="538"/>
      <c r="M119" s="538"/>
      <c r="N119" s="538"/>
      <c r="O119" s="538"/>
      <c r="P119" s="538"/>
      <c r="S119" s="6">
        <f t="shared" ref="S119:S129" si="19">SUM(E119:P119)</f>
        <v>100</v>
      </c>
    </row>
    <row r="120" spans="1:19" x14ac:dyDescent="0.2">
      <c r="A120" s="536" t="str">
        <f t="shared" si="18"/>
        <v>12|2</v>
      </c>
      <c r="B120" s="535" t="s">
        <v>90</v>
      </c>
      <c r="C120" s="534" t="s">
        <v>154</v>
      </c>
      <c r="D120" s="533">
        <v>2</v>
      </c>
      <c r="E120" s="537">
        <v>5</v>
      </c>
      <c r="F120" s="537">
        <v>10</v>
      </c>
      <c r="G120" s="537">
        <v>10</v>
      </c>
      <c r="H120" s="537">
        <v>15</v>
      </c>
      <c r="I120" s="537">
        <v>15</v>
      </c>
      <c r="J120" s="531">
        <v>15</v>
      </c>
      <c r="K120" s="531">
        <v>10</v>
      </c>
      <c r="L120" s="531">
        <v>10</v>
      </c>
      <c r="M120" s="531">
        <v>10</v>
      </c>
      <c r="N120" s="531"/>
      <c r="O120" s="531"/>
      <c r="P120" s="531"/>
      <c r="S120" s="6">
        <f t="shared" si="19"/>
        <v>100</v>
      </c>
    </row>
    <row r="121" spans="1:19" x14ac:dyDescent="0.2">
      <c r="A121" s="536" t="str">
        <f t="shared" si="18"/>
        <v>12|3</v>
      </c>
      <c r="B121" s="535" t="s">
        <v>95</v>
      </c>
      <c r="C121" s="534" t="s">
        <v>159</v>
      </c>
      <c r="D121" s="533">
        <v>3</v>
      </c>
      <c r="E121" s="532"/>
      <c r="F121" s="532">
        <v>5</v>
      </c>
      <c r="G121" s="532">
        <v>10</v>
      </c>
      <c r="H121" s="532">
        <v>10</v>
      </c>
      <c r="I121" s="532">
        <v>10</v>
      </c>
      <c r="J121" s="531">
        <v>15</v>
      </c>
      <c r="K121" s="531">
        <v>15</v>
      </c>
      <c r="L121" s="531">
        <v>10</v>
      </c>
      <c r="M121" s="531">
        <v>10</v>
      </c>
      <c r="N121" s="531">
        <v>10</v>
      </c>
      <c r="O121" s="531">
        <v>5</v>
      </c>
      <c r="P121" s="531"/>
      <c r="S121" s="6">
        <f t="shared" si="19"/>
        <v>100</v>
      </c>
    </row>
    <row r="122" spans="1:19" x14ac:dyDescent="0.2">
      <c r="A122" s="536" t="str">
        <f t="shared" si="18"/>
        <v>12|4</v>
      </c>
      <c r="B122" s="535" t="s">
        <v>97</v>
      </c>
      <c r="C122" s="534" t="s">
        <v>155</v>
      </c>
      <c r="D122" s="533">
        <v>4</v>
      </c>
      <c r="E122" s="532"/>
      <c r="F122" s="532"/>
      <c r="G122" s="532">
        <v>5</v>
      </c>
      <c r="H122" s="532">
        <v>10</v>
      </c>
      <c r="I122" s="532">
        <v>10</v>
      </c>
      <c r="J122" s="531">
        <v>10</v>
      </c>
      <c r="K122" s="531">
        <v>10</v>
      </c>
      <c r="L122" s="531">
        <v>15</v>
      </c>
      <c r="M122" s="531">
        <v>10</v>
      </c>
      <c r="N122" s="531">
        <v>15</v>
      </c>
      <c r="O122" s="531">
        <v>10</v>
      </c>
      <c r="P122" s="531">
        <v>5</v>
      </c>
      <c r="S122" s="6">
        <f t="shared" si="19"/>
        <v>100</v>
      </c>
    </row>
    <row r="123" spans="1:19" x14ac:dyDescent="0.2">
      <c r="A123" s="536" t="str">
        <f t="shared" si="18"/>
        <v>12|5</v>
      </c>
      <c r="B123" s="535" t="s">
        <v>89</v>
      </c>
      <c r="C123" s="534" t="s">
        <v>156</v>
      </c>
      <c r="D123" s="533">
        <v>5</v>
      </c>
      <c r="E123" s="532"/>
      <c r="F123" s="532"/>
      <c r="G123" s="532">
        <v>10</v>
      </c>
      <c r="H123" s="532">
        <v>10</v>
      </c>
      <c r="I123" s="532">
        <v>10</v>
      </c>
      <c r="J123" s="531">
        <v>10</v>
      </c>
      <c r="K123" s="531">
        <v>10</v>
      </c>
      <c r="L123" s="531">
        <v>15</v>
      </c>
      <c r="M123" s="531">
        <v>15</v>
      </c>
      <c r="N123" s="531">
        <v>10</v>
      </c>
      <c r="O123" s="531">
        <v>10</v>
      </c>
      <c r="P123" s="531"/>
      <c r="S123" s="6">
        <f t="shared" si="19"/>
        <v>100</v>
      </c>
    </row>
    <row r="124" spans="1:19" x14ac:dyDescent="0.2">
      <c r="A124" s="536" t="str">
        <f t="shared" si="18"/>
        <v>12|6</v>
      </c>
      <c r="B124" s="535" t="s">
        <v>98</v>
      </c>
      <c r="C124" s="534" t="s">
        <v>160</v>
      </c>
      <c r="D124" s="533">
        <v>3</v>
      </c>
      <c r="E124" s="532"/>
      <c r="F124" s="532"/>
      <c r="G124" s="532"/>
      <c r="H124" s="532">
        <v>5</v>
      </c>
      <c r="I124" s="532">
        <v>10</v>
      </c>
      <c r="J124" s="532">
        <v>10</v>
      </c>
      <c r="K124" s="531">
        <v>10</v>
      </c>
      <c r="L124" s="531">
        <v>15</v>
      </c>
      <c r="M124" s="531">
        <v>15</v>
      </c>
      <c r="N124" s="531">
        <v>15</v>
      </c>
      <c r="O124" s="531">
        <v>10</v>
      </c>
      <c r="P124" s="531">
        <v>10</v>
      </c>
      <c r="S124" s="6">
        <f t="shared" si="19"/>
        <v>100</v>
      </c>
    </row>
    <row r="125" spans="1:19" x14ac:dyDescent="0.2">
      <c r="A125" s="536" t="str">
        <f t="shared" si="18"/>
        <v>12|7</v>
      </c>
      <c r="B125" s="535" t="s">
        <v>153</v>
      </c>
      <c r="C125" s="534" t="s">
        <v>161</v>
      </c>
      <c r="D125" s="533">
        <v>5</v>
      </c>
      <c r="E125" s="532"/>
      <c r="F125" s="532"/>
      <c r="G125" s="532"/>
      <c r="H125" s="532">
        <v>5</v>
      </c>
      <c r="I125" s="532">
        <v>10</v>
      </c>
      <c r="J125" s="531">
        <v>10</v>
      </c>
      <c r="K125" s="531">
        <v>15</v>
      </c>
      <c r="L125" s="531">
        <v>15</v>
      </c>
      <c r="M125" s="531">
        <v>15</v>
      </c>
      <c r="N125" s="531">
        <v>10</v>
      </c>
      <c r="O125" s="531">
        <v>10</v>
      </c>
      <c r="P125" s="531">
        <v>10</v>
      </c>
      <c r="S125" s="6">
        <f t="shared" si="19"/>
        <v>100</v>
      </c>
    </row>
    <row r="126" spans="1:19" x14ac:dyDescent="0.2">
      <c r="A126" s="536" t="str">
        <f t="shared" si="18"/>
        <v>12|8</v>
      </c>
      <c r="B126" s="535" t="s">
        <v>110</v>
      </c>
      <c r="C126" s="534" t="s">
        <v>162</v>
      </c>
      <c r="D126" s="533">
        <v>6</v>
      </c>
      <c r="E126" s="532"/>
      <c r="F126" s="532"/>
      <c r="G126" s="532"/>
      <c r="H126" s="532">
        <v>10</v>
      </c>
      <c r="I126" s="532">
        <v>10</v>
      </c>
      <c r="J126" s="531">
        <v>10</v>
      </c>
      <c r="K126" s="531">
        <v>20</v>
      </c>
      <c r="L126" s="531">
        <v>10</v>
      </c>
      <c r="M126" s="531">
        <v>10</v>
      </c>
      <c r="N126" s="531">
        <v>10</v>
      </c>
      <c r="O126" s="531">
        <v>10</v>
      </c>
      <c r="P126" s="531">
        <v>10</v>
      </c>
      <c r="S126" s="6">
        <f t="shared" si="19"/>
        <v>100</v>
      </c>
    </row>
    <row r="127" spans="1:19" x14ac:dyDescent="0.2">
      <c r="A127" s="536" t="str">
        <f t="shared" si="18"/>
        <v>12|9</v>
      </c>
      <c r="B127" s="535" t="s">
        <v>163</v>
      </c>
      <c r="C127" s="534" t="s">
        <v>164</v>
      </c>
      <c r="D127" s="533">
        <v>6</v>
      </c>
      <c r="E127" s="532">
        <v>5</v>
      </c>
      <c r="F127" s="532">
        <v>5</v>
      </c>
      <c r="G127" s="532">
        <v>5</v>
      </c>
      <c r="H127" s="532">
        <v>5</v>
      </c>
      <c r="I127" s="532">
        <v>10</v>
      </c>
      <c r="J127" s="531">
        <v>10</v>
      </c>
      <c r="K127" s="531">
        <v>10</v>
      </c>
      <c r="L127" s="531">
        <v>10</v>
      </c>
      <c r="M127" s="531">
        <v>10</v>
      </c>
      <c r="N127" s="531">
        <v>10</v>
      </c>
      <c r="O127" s="531">
        <v>10</v>
      </c>
      <c r="P127" s="531">
        <v>10</v>
      </c>
      <c r="S127" s="6">
        <f t="shared" si="19"/>
        <v>100</v>
      </c>
    </row>
    <row r="128" spans="1:19" x14ac:dyDescent="0.2">
      <c r="A128" s="536" t="str">
        <f t="shared" si="18"/>
        <v>12|10</v>
      </c>
      <c r="B128" s="535" t="s">
        <v>165</v>
      </c>
      <c r="C128" s="534" t="s">
        <v>157</v>
      </c>
      <c r="D128" s="533"/>
      <c r="E128" s="532">
        <v>10</v>
      </c>
      <c r="F128" s="532">
        <v>15</v>
      </c>
      <c r="G128" s="532">
        <v>10</v>
      </c>
      <c r="H128" s="532">
        <v>10</v>
      </c>
      <c r="I128" s="532">
        <v>10</v>
      </c>
      <c r="J128" s="531">
        <v>10</v>
      </c>
      <c r="K128" s="531">
        <v>10</v>
      </c>
      <c r="L128" s="531">
        <v>10</v>
      </c>
      <c r="M128" s="531">
        <v>10</v>
      </c>
      <c r="N128" s="531">
        <v>5</v>
      </c>
      <c r="O128" s="531"/>
      <c r="P128" s="531"/>
      <c r="S128" s="6">
        <f t="shared" si="19"/>
        <v>100</v>
      </c>
    </row>
    <row r="129" spans="1:19" x14ac:dyDescent="0.2">
      <c r="A129" s="536" t="str">
        <f t="shared" si="18"/>
        <v>12|11</v>
      </c>
      <c r="B129" s="535" t="s">
        <v>172</v>
      </c>
      <c r="C129" s="534" t="s">
        <v>189</v>
      </c>
      <c r="D129" s="533"/>
      <c r="E129" s="532">
        <v>1</v>
      </c>
      <c r="F129" s="532">
        <v>1</v>
      </c>
      <c r="G129" s="532">
        <v>10</v>
      </c>
      <c r="H129" s="532">
        <v>10</v>
      </c>
      <c r="I129" s="532">
        <v>15</v>
      </c>
      <c r="J129" s="531">
        <v>15</v>
      </c>
      <c r="K129" s="531">
        <v>15</v>
      </c>
      <c r="L129" s="531">
        <v>15</v>
      </c>
      <c r="M129" s="531">
        <v>5</v>
      </c>
      <c r="N129" s="531">
        <v>3</v>
      </c>
      <c r="O129" s="531">
        <v>5</v>
      </c>
      <c r="P129" s="531">
        <v>5</v>
      </c>
      <c r="S129" s="6">
        <f t="shared" si="19"/>
        <v>100</v>
      </c>
    </row>
    <row r="131" spans="1:19" x14ac:dyDescent="0.2">
      <c r="S131" s="6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39144-F195-4572-BB96-1DB14FD207CC}">
  <sheetPr codeName="Planilha2"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6640625" defaultRowHeight="12.75" x14ac:dyDescent="0.2"/>
  <cols>
    <col min="1" max="1" width="10.6640625" style="6" customWidth="1"/>
    <col min="2" max="2" width="13.1640625" style="6" customWidth="1"/>
    <col min="3" max="3" width="38" style="6" customWidth="1"/>
    <col min="4" max="4" width="3.83203125" style="6" customWidth="1"/>
    <col min="5" max="16" width="10" style="6" customWidth="1"/>
    <col min="17" max="17" width="10.6640625" style="6" customWidth="1"/>
    <col min="18" max="255" width="10.6640625" style="6"/>
    <col min="256" max="256" width="13.1640625" style="6" customWidth="1"/>
    <col min="257" max="257" width="79" style="6" customWidth="1"/>
    <col min="258" max="258" width="3.83203125" style="6" customWidth="1"/>
    <col min="259" max="271" width="12.5" style="6" customWidth="1"/>
    <col min="272" max="272" width="8.5" style="6" customWidth="1"/>
    <col min="273" max="511" width="10.6640625" style="6"/>
    <col min="512" max="512" width="13.1640625" style="6" customWidth="1"/>
    <col min="513" max="513" width="79" style="6" customWidth="1"/>
    <col min="514" max="514" width="3.83203125" style="6" customWidth="1"/>
    <col min="515" max="527" width="12.5" style="6" customWidth="1"/>
    <col min="528" max="528" width="8.5" style="6" customWidth="1"/>
    <col min="529" max="767" width="10.6640625" style="6"/>
    <col min="768" max="768" width="13.1640625" style="6" customWidth="1"/>
    <col min="769" max="769" width="79" style="6" customWidth="1"/>
    <col min="770" max="770" width="3.83203125" style="6" customWidth="1"/>
    <col min="771" max="783" width="12.5" style="6" customWidth="1"/>
    <col min="784" max="784" width="8.5" style="6" customWidth="1"/>
    <col min="785" max="1023" width="10.6640625" style="6"/>
    <col min="1024" max="1024" width="13.1640625" style="6" customWidth="1"/>
    <col min="1025" max="1025" width="79" style="6" customWidth="1"/>
    <col min="1026" max="1026" width="3.83203125" style="6" customWidth="1"/>
    <col min="1027" max="1039" width="12.5" style="6" customWidth="1"/>
    <col min="1040" max="1040" width="8.5" style="6" customWidth="1"/>
    <col min="1041" max="1279" width="10.6640625" style="6"/>
    <col min="1280" max="1280" width="13.1640625" style="6" customWidth="1"/>
    <col min="1281" max="1281" width="79" style="6" customWidth="1"/>
    <col min="1282" max="1282" width="3.83203125" style="6" customWidth="1"/>
    <col min="1283" max="1295" width="12.5" style="6" customWidth="1"/>
    <col min="1296" max="1296" width="8.5" style="6" customWidth="1"/>
    <col min="1297" max="1535" width="10.6640625" style="6"/>
    <col min="1536" max="1536" width="13.1640625" style="6" customWidth="1"/>
    <col min="1537" max="1537" width="79" style="6" customWidth="1"/>
    <col min="1538" max="1538" width="3.83203125" style="6" customWidth="1"/>
    <col min="1539" max="1551" width="12.5" style="6" customWidth="1"/>
    <col min="1552" max="1552" width="8.5" style="6" customWidth="1"/>
    <col min="1553" max="1791" width="10.6640625" style="6"/>
    <col min="1792" max="1792" width="13.1640625" style="6" customWidth="1"/>
    <col min="1793" max="1793" width="79" style="6" customWidth="1"/>
    <col min="1794" max="1794" width="3.83203125" style="6" customWidth="1"/>
    <col min="1795" max="1807" width="12.5" style="6" customWidth="1"/>
    <col min="1808" max="1808" width="8.5" style="6" customWidth="1"/>
    <col min="1809" max="2047" width="10.6640625" style="6"/>
    <col min="2048" max="2048" width="13.1640625" style="6" customWidth="1"/>
    <col min="2049" max="2049" width="79" style="6" customWidth="1"/>
    <col min="2050" max="2050" width="3.83203125" style="6" customWidth="1"/>
    <col min="2051" max="2063" width="12.5" style="6" customWidth="1"/>
    <col min="2064" max="2064" width="8.5" style="6" customWidth="1"/>
    <col min="2065" max="2303" width="10.6640625" style="6"/>
    <col min="2304" max="2304" width="13.1640625" style="6" customWidth="1"/>
    <col min="2305" max="2305" width="79" style="6" customWidth="1"/>
    <col min="2306" max="2306" width="3.83203125" style="6" customWidth="1"/>
    <col min="2307" max="2319" width="12.5" style="6" customWidth="1"/>
    <col min="2320" max="2320" width="8.5" style="6" customWidth="1"/>
    <col min="2321" max="2559" width="10.6640625" style="6"/>
    <col min="2560" max="2560" width="13.1640625" style="6" customWidth="1"/>
    <col min="2561" max="2561" width="79" style="6" customWidth="1"/>
    <col min="2562" max="2562" width="3.83203125" style="6" customWidth="1"/>
    <col min="2563" max="2575" width="12.5" style="6" customWidth="1"/>
    <col min="2576" max="2576" width="8.5" style="6" customWidth="1"/>
    <col min="2577" max="2815" width="10.6640625" style="6"/>
    <col min="2816" max="2816" width="13.1640625" style="6" customWidth="1"/>
    <col min="2817" max="2817" width="79" style="6" customWidth="1"/>
    <col min="2818" max="2818" width="3.83203125" style="6" customWidth="1"/>
    <col min="2819" max="2831" width="12.5" style="6" customWidth="1"/>
    <col min="2832" max="2832" width="8.5" style="6" customWidth="1"/>
    <col min="2833" max="3071" width="10.6640625" style="6"/>
    <col min="3072" max="3072" width="13.1640625" style="6" customWidth="1"/>
    <col min="3073" max="3073" width="79" style="6" customWidth="1"/>
    <col min="3074" max="3074" width="3.83203125" style="6" customWidth="1"/>
    <col min="3075" max="3087" width="12.5" style="6" customWidth="1"/>
    <col min="3088" max="3088" width="8.5" style="6" customWidth="1"/>
    <col min="3089" max="3327" width="10.6640625" style="6"/>
    <col min="3328" max="3328" width="13.1640625" style="6" customWidth="1"/>
    <col min="3329" max="3329" width="79" style="6" customWidth="1"/>
    <col min="3330" max="3330" width="3.83203125" style="6" customWidth="1"/>
    <col min="3331" max="3343" width="12.5" style="6" customWidth="1"/>
    <col min="3344" max="3344" width="8.5" style="6" customWidth="1"/>
    <col min="3345" max="3583" width="10.6640625" style="6"/>
    <col min="3584" max="3584" width="13.1640625" style="6" customWidth="1"/>
    <col min="3585" max="3585" width="79" style="6" customWidth="1"/>
    <col min="3586" max="3586" width="3.83203125" style="6" customWidth="1"/>
    <col min="3587" max="3599" width="12.5" style="6" customWidth="1"/>
    <col min="3600" max="3600" width="8.5" style="6" customWidth="1"/>
    <col min="3601" max="3839" width="10.6640625" style="6"/>
    <col min="3840" max="3840" width="13.1640625" style="6" customWidth="1"/>
    <col min="3841" max="3841" width="79" style="6" customWidth="1"/>
    <col min="3842" max="3842" width="3.83203125" style="6" customWidth="1"/>
    <col min="3843" max="3855" width="12.5" style="6" customWidth="1"/>
    <col min="3856" max="3856" width="8.5" style="6" customWidth="1"/>
    <col min="3857" max="4095" width="10.6640625" style="6"/>
    <col min="4096" max="4096" width="13.1640625" style="6" customWidth="1"/>
    <col min="4097" max="4097" width="79" style="6" customWidth="1"/>
    <col min="4098" max="4098" width="3.83203125" style="6" customWidth="1"/>
    <col min="4099" max="4111" width="12.5" style="6" customWidth="1"/>
    <col min="4112" max="4112" width="8.5" style="6" customWidth="1"/>
    <col min="4113" max="4351" width="10.6640625" style="6"/>
    <col min="4352" max="4352" width="13.1640625" style="6" customWidth="1"/>
    <col min="4353" max="4353" width="79" style="6" customWidth="1"/>
    <col min="4354" max="4354" width="3.83203125" style="6" customWidth="1"/>
    <col min="4355" max="4367" width="12.5" style="6" customWidth="1"/>
    <col min="4368" max="4368" width="8.5" style="6" customWidth="1"/>
    <col min="4369" max="4607" width="10.6640625" style="6"/>
    <col min="4608" max="4608" width="13.1640625" style="6" customWidth="1"/>
    <col min="4609" max="4609" width="79" style="6" customWidth="1"/>
    <col min="4610" max="4610" width="3.83203125" style="6" customWidth="1"/>
    <col min="4611" max="4623" width="12.5" style="6" customWidth="1"/>
    <col min="4624" max="4624" width="8.5" style="6" customWidth="1"/>
    <col min="4625" max="4863" width="10.6640625" style="6"/>
    <col min="4864" max="4864" width="13.1640625" style="6" customWidth="1"/>
    <col min="4865" max="4865" width="79" style="6" customWidth="1"/>
    <col min="4866" max="4866" width="3.83203125" style="6" customWidth="1"/>
    <col min="4867" max="4879" width="12.5" style="6" customWidth="1"/>
    <col min="4880" max="4880" width="8.5" style="6" customWidth="1"/>
    <col min="4881" max="5119" width="10.6640625" style="6"/>
    <col min="5120" max="5120" width="13.1640625" style="6" customWidth="1"/>
    <col min="5121" max="5121" width="79" style="6" customWidth="1"/>
    <col min="5122" max="5122" width="3.83203125" style="6" customWidth="1"/>
    <col min="5123" max="5135" width="12.5" style="6" customWidth="1"/>
    <col min="5136" max="5136" width="8.5" style="6" customWidth="1"/>
    <col min="5137" max="5375" width="10.6640625" style="6"/>
    <col min="5376" max="5376" width="13.1640625" style="6" customWidth="1"/>
    <col min="5377" max="5377" width="79" style="6" customWidth="1"/>
    <col min="5378" max="5378" width="3.83203125" style="6" customWidth="1"/>
    <col min="5379" max="5391" width="12.5" style="6" customWidth="1"/>
    <col min="5392" max="5392" width="8.5" style="6" customWidth="1"/>
    <col min="5393" max="5631" width="10.6640625" style="6"/>
    <col min="5632" max="5632" width="13.1640625" style="6" customWidth="1"/>
    <col min="5633" max="5633" width="79" style="6" customWidth="1"/>
    <col min="5634" max="5634" width="3.83203125" style="6" customWidth="1"/>
    <col min="5635" max="5647" width="12.5" style="6" customWidth="1"/>
    <col min="5648" max="5648" width="8.5" style="6" customWidth="1"/>
    <col min="5649" max="5887" width="10.6640625" style="6"/>
    <col min="5888" max="5888" width="13.1640625" style="6" customWidth="1"/>
    <col min="5889" max="5889" width="79" style="6" customWidth="1"/>
    <col min="5890" max="5890" width="3.83203125" style="6" customWidth="1"/>
    <col min="5891" max="5903" width="12.5" style="6" customWidth="1"/>
    <col min="5904" max="5904" width="8.5" style="6" customWidth="1"/>
    <col min="5905" max="6143" width="10.6640625" style="6"/>
    <col min="6144" max="6144" width="13.1640625" style="6" customWidth="1"/>
    <col min="6145" max="6145" width="79" style="6" customWidth="1"/>
    <col min="6146" max="6146" width="3.83203125" style="6" customWidth="1"/>
    <col min="6147" max="6159" width="12.5" style="6" customWidth="1"/>
    <col min="6160" max="6160" width="8.5" style="6" customWidth="1"/>
    <col min="6161" max="6399" width="10.6640625" style="6"/>
    <col min="6400" max="6400" width="13.1640625" style="6" customWidth="1"/>
    <col min="6401" max="6401" width="79" style="6" customWidth="1"/>
    <col min="6402" max="6402" width="3.83203125" style="6" customWidth="1"/>
    <col min="6403" max="6415" width="12.5" style="6" customWidth="1"/>
    <col min="6416" max="6416" width="8.5" style="6" customWidth="1"/>
    <col min="6417" max="6655" width="10.6640625" style="6"/>
    <col min="6656" max="6656" width="13.1640625" style="6" customWidth="1"/>
    <col min="6657" max="6657" width="79" style="6" customWidth="1"/>
    <col min="6658" max="6658" width="3.83203125" style="6" customWidth="1"/>
    <col min="6659" max="6671" width="12.5" style="6" customWidth="1"/>
    <col min="6672" max="6672" width="8.5" style="6" customWidth="1"/>
    <col min="6673" max="6911" width="10.6640625" style="6"/>
    <col min="6912" max="6912" width="13.1640625" style="6" customWidth="1"/>
    <col min="6913" max="6913" width="79" style="6" customWidth="1"/>
    <col min="6914" max="6914" width="3.83203125" style="6" customWidth="1"/>
    <col min="6915" max="6927" width="12.5" style="6" customWidth="1"/>
    <col min="6928" max="6928" width="8.5" style="6" customWidth="1"/>
    <col min="6929" max="7167" width="10.6640625" style="6"/>
    <col min="7168" max="7168" width="13.1640625" style="6" customWidth="1"/>
    <col min="7169" max="7169" width="79" style="6" customWidth="1"/>
    <col min="7170" max="7170" width="3.83203125" style="6" customWidth="1"/>
    <col min="7171" max="7183" width="12.5" style="6" customWidth="1"/>
    <col min="7184" max="7184" width="8.5" style="6" customWidth="1"/>
    <col min="7185" max="7423" width="10.6640625" style="6"/>
    <col min="7424" max="7424" width="13.1640625" style="6" customWidth="1"/>
    <col min="7425" max="7425" width="79" style="6" customWidth="1"/>
    <col min="7426" max="7426" width="3.83203125" style="6" customWidth="1"/>
    <col min="7427" max="7439" width="12.5" style="6" customWidth="1"/>
    <col min="7440" max="7440" width="8.5" style="6" customWidth="1"/>
    <col min="7441" max="7679" width="10.6640625" style="6"/>
    <col min="7680" max="7680" width="13.1640625" style="6" customWidth="1"/>
    <col min="7681" max="7681" width="79" style="6" customWidth="1"/>
    <col min="7682" max="7682" width="3.83203125" style="6" customWidth="1"/>
    <col min="7683" max="7695" width="12.5" style="6" customWidth="1"/>
    <col min="7696" max="7696" width="8.5" style="6" customWidth="1"/>
    <col min="7697" max="7935" width="10.6640625" style="6"/>
    <col min="7936" max="7936" width="13.1640625" style="6" customWidth="1"/>
    <col min="7937" max="7937" width="79" style="6" customWidth="1"/>
    <col min="7938" max="7938" width="3.83203125" style="6" customWidth="1"/>
    <col min="7939" max="7951" width="12.5" style="6" customWidth="1"/>
    <col min="7952" max="7952" width="8.5" style="6" customWidth="1"/>
    <col min="7953" max="8191" width="10.6640625" style="6"/>
    <col min="8192" max="8192" width="13.1640625" style="6" customWidth="1"/>
    <col min="8193" max="8193" width="79" style="6" customWidth="1"/>
    <col min="8194" max="8194" width="3.83203125" style="6" customWidth="1"/>
    <col min="8195" max="8207" width="12.5" style="6" customWidth="1"/>
    <col min="8208" max="8208" width="8.5" style="6" customWidth="1"/>
    <col min="8209" max="8447" width="10.6640625" style="6"/>
    <col min="8448" max="8448" width="13.1640625" style="6" customWidth="1"/>
    <col min="8449" max="8449" width="79" style="6" customWidth="1"/>
    <col min="8450" max="8450" width="3.83203125" style="6" customWidth="1"/>
    <col min="8451" max="8463" width="12.5" style="6" customWidth="1"/>
    <col min="8464" max="8464" width="8.5" style="6" customWidth="1"/>
    <col min="8465" max="8703" width="10.6640625" style="6"/>
    <col min="8704" max="8704" width="13.1640625" style="6" customWidth="1"/>
    <col min="8705" max="8705" width="79" style="6" customWidth="1"/>
    <col min="8706" max="8706" width="3.83203125" style="6" customWidth="1"/>
    <col min="8707" max="8719" width="12.5" style="6" customWidth="1"/>
    <col min="8720" max="8720" width="8.5" style="6" customWidth="1"/>
    <col min="8721" max="8959" width="10.6640625" style="6"/>
    <col min="8960" max="8960" width="13.1640625" style="6" customWidth="1"/>
    <col min="8961" max="8961" width="79" style="6" customWidth="1"/>
    <col min="8962" max="8962" width="3.83203125" style="6" customWidth="1"/>
    <col min="8963" max="8975" width="12.5" style="6" customWidth="1"/>
    <col min="8976" max="8976" width="8.5" style="6" customWidth="1"/>
    <col min="8977" max="9215" width="10.6640625" style="6"/>
    <col min="9216" max="9216" width="13.1640625" style="6" customWidth="1"/>
    <col min="9217" max="9217" width="79" style="6" customWidth="1"/>
    <col min="9218" max="9218" width="3.83203125" style="6" customWidth="1"/>
    <col min="9219" max="9231" width="12.5" style="6" customWidth="1"/>
    <col min="9232" max="9232" width="8.5" style="6" customWidth="1"/>
    <col min="9233" max="9471" width="10.6640625" style="6"/>
    <col min="9472" max="9472" width="13.1640625" style="6" customWidth="1"/>
    <col min="9473" max="9473" width="79" style="6" customWidth="1"/>
    <col min="9474" max="9474" width="3.83203125" style="6" customWidth="1"/>
    <col min="9475" max="9487" width="12.5" style="6" customWidth="1"/>
    <col min="9488" max="9488" width="8.5" style="6" customWidth="1"/>
    <col min="9489" max="9727" width="10.6640625" style="6"/>
    <col min="9728" max="9728" width="13.1640625" style="6" customWidth="1"/>
    <col min="9729" max="9729" width="79" style="6" customWidth="1"/>
    <col min="9730" max="9730" width="3.83203125" style="6" customWidth="1"/>
    <col min="9731" max="9743" width="12.5" style="6" customWidth="1"/>
    <col min="9744" max="9744" width="8.5" style="6" customWidth="1"/>
    <col min="9745" max="9983" width="10.6640625" style="6"/>
    <col min="9984" max="9984" width="13.1640625" style="6" customWidth="1"/>
    <col min="9985" max="9985" width="79" style="6" customWidth="1"/>
    <col min="9986" max="9986" width="3.83203125" style="6" customWidth="1"/>
    <col min="9987" max="9999" width="12.5" style="6" customWidth="1"/>
    <col min="10000" max="10000" width="8.5" style="6" customWidth="1"/>
    <col min="10001" max="10239" width="10.6640625" style="6"/>
    <col min="10240" max="10240" width="13.1640625" style="6" customWidth="1"/>
    <col min="10241" max="10241" width="79" style="6" customWidth="1"/>
    <col min="10242" max="10242" width="3.83203125" style="6" customWidth="1"/>
    <col min="10243" max="10255" width="12.5" style="6" customWidth="1"/>
    <col min="10256" max="10256" width="8.5" style="6" customWidth="1"/>
    <col min="10257" max="10495" width="10.6640625" style="6"/>
    <col min="10496" max="10496" width="13.1640625" style="6" customWidth="1"/>
    <col min="10497" max="10497" width="79" style="6" customWidth="1"/>
    <col min="10498" max="10498" width="3.83203125" style="6" customWidth="1"/>
    <col min="10499" max="10511" width="12.5" style="6" customWidth="1"/>
    <col min="10512" max="10512" width="8.5" style="6" customWidth="1"/>
    <col min="10513" max="10751" width="10.6640625" style="6"/>
    <col min="10752" max="10752" width="13.1640625" style="6" customWidth="1"/>
    <col min="10753" max="10753" width="79" style="6" customWidth="1"/>
    <col min="10754" max="10754" width="3.83203125" style="6" customWidth="1"/>
    <col min="10755" max="10767" width="12.5" style="6" customWidth="1"/>
    <col min="10768" max="10768" width="8.5" style="6" customWidth="1"/>
    <col min="10769" max="11007" width="10.6640625" style="6"/>
    <col min="11008" max="11008" width="13.1640625" style="6" customWidth="1"/>
    <col min="11009" max="11009" width="79" style="6" customWidth="1"/>
    <col min="11010" max="11010" width="3.83203125" style="6" customWidth="1"/>
    <col min="11011" max="11023" width="12.5" style="6" customWidth="1"/>
    <col min="11024" max="11024" width="8.5" style="6" customWidth="1"/>
    <col min="11025" max="11263" width="10.6640625" style="6"/>
    <col min="11264" max="11264" width="13.1640625" style="6" customWidth="1"/>
    <col min="11265" max="11265" width="79" style="6" customWidth="1"/>
    <col min="11266" max="11266" width="3.83203125" style="6" customWidth="1"/>
    <col min="11267" max="11279" width="12.5" style="6" customWidth="1"/>
    <col min="11280" max="11280" width="8.5" style="6" customWidth="1"/>
    <col min="11281" max="11519" width="10.6640625" style="6"/>
    <col min="11520" max="11520" width="13.1640625" style="6" customWidth="1"/>
    <col min="11521" max="11521" width="79" style="6" customWidth="1"/>
    <col min="11522" max="11522" width="3.83203125" style="6" customWidth="1"/>
    <col min="11523" max="11535" width="12.5" style="6" customWidth="1"/>
    <col min="11536" max="11536" width="8.5" style="6" customWidth="1"/>
    <col min="11537" max="11775" width="10.6640625" style="6"/>
    <col min="11776" max="11776" width="13.1640625" style="6" customWidth="1"/>
    <col min="11777" max="11777" width="79" style="6" customWidth="1"/>
    <col min="11778" max="11778" width="3.83203125" style="6" customWidth="1"/>
    <col min="11779" max="11791" width="12.5" style="6" customWidth="1"/>
    <col min="11792" max="11792" width="8.5" style="6" customWidth="1"/>
    <col min="11793" max="12031" width="10.6640625" style="6"/>
    <col min="12032" max="12032" width="13.1640625" style="6" customWidth="1"/>
    <col min="12033" max="12033" width="79" style="6" customWidth="1"/>
    <col min="12034" max="12034" width="3.83203125" style="6" customWidth="1"/>
    <col min="12035" max="12047" width="12.5" style="6" customWidth="1"/>
    <col min="12048" max="12048" width="8.5" style="6" customWidth="1"/>
    <col min="12049" max="12287" width="10.6640625" style="6"/>
    <col min="12288" max="12288" width="13.1640625" style="6" customWidth="1"/>
    <col min="12289" max="12289" width="79" style="6" customWidth="1"/>
    <col min="12290" max="12290" width="3.83203125" style="6" customWidth="1"/>
    <col min="12291" max="12303" width="12.5" style="6" customWidth="1"/>
    <col min="12304" max="12304" width="8.5" style="6" customWidth="1"/>
    <col min="12305" max="12543" width="10.6640625" style="6"/>
    <col min="12544" max="12544" width="13.1640625" style="6" customWidth="1"/>
    <col min="12545" max="12545" width="79" style="6" customWidth="1"/>
    <col min="12546" max="12546" width="3.83203125" style="6" customWidth="1"/>
    <col min="12547" max="12559" width="12.5" style="6" customWidth="1"/>
    <col min="12560" max="12560" width="8.5" style="6" customWidth="1"/>
    <col min="12561" max="12799" width="10.6640625" style="6"/>
    <col min="12800" max="12800" width="13.1640625" style="6" customWidth="1"/>
    <col min="12801" max="12801" width="79" style="6" customWidth="1"/>
    <col min="12802" max="12802" width="3.83203125" style="6" customWidth="1"/>
    <col min="12803" max="12815" width="12.5" style="6" customWidth="1"/>
    <col min="12816" max="12816" width="8.5" style="6" customWidth="1"/>
    <col min="12817" max="13055" width="10.6640625" style="6"/>
    <col min="13056" max="13056" width="13.1640625" style="6" customWidth="1"/>
    <col min="13057" max="13057" width="79" style="6" customWidth="1"/>
    <col min="13058" max="13058" width="3.83203125" style="6" customWidth="1"/>
    <col min="13059" max="13071" width="12.5" style="6" customWidth="1"/>
    <col min="13072" max="13072" width="8.5" style="6" customWidth="1"/>
    <col min="13073" max="13311" width="10.6640625" style="6"/>
    <col min="13312" max="13312" width="13.1640625" style="6" customWidth="1"/>
    <col min="13313" max="13313" width="79" style="6" customWidth="1"/>
    <col min="13314" max="13314" width="3.83203125" style="6" customWidth="1"/>
    <col min="13315" max="13327" width="12.5" style="6" customWidth="1"/>
    <col min="13328" max="13328" width="8.5" style="6" customWidth="1"/>
    <col min="13329" max="13567" width="10.6640625" style="6"/>
    <col min="13568" max="13568" width="13.1640625" style="6" customWidth="1"/>
    <col min="13569" max="13569" width="79" style="6" customWidth="1"/>
    <col min="13570" max="13570" width="3.83203125" style="6" customWidth="1"/>
    <col min="13571" max="13583" width="12.5" style="6" customWidth="1"/>
    <col min="13584" max="13584" width="8.5" style="6" customWidth="1"/>
    <col min="13585" max="13823" width="10.6640625" style="6"/>
    <col min="13824" max="13824" width="13.1640625" style="6" customWidth="1"/>
    <col min="13825" max="13825" width="79" style="6" customWidth="1"/>
    <col min="13826" max="13826" width="3.83203125" style="6" customWidth="1"/>
    <col min="13827" max="13839" width="12.5" style="6" customWidth="1"/>
    <col min="13840" max="13840" width="8.5" style="6" customWidth="1"/>
    <col min="13841" max="14079" width="10.6640625" style="6"/>
    <col min="14080" max="14080" width="13.1640625" style="6" customWidth="1"/>
    <col min="14081" max="14081" width="79" style="6" customWidth="1"/>
    <col min="14082" max="14082" width="3.83203125" style="6" customWidth="1"/>
    <col min="14083" max="14095" width="12.5" style="6" customWidth="1"/>
    <col min="14096" max="14096" width="8.5" style="6" customWidth="1"/>
    <col min="14097" max="14335" width="10.6640625" style="6"/>
    <col min="14336" max="14336" width="13.1640625" style="6" customWidth="1"/>
    <col min="14337" max="14337" width="79" style="6" customWidth="1"/>
    <col min="14338" max="14338" width="3.83203125" style="6" customWidth="1"/>
    <col min="14339" max="14351" width="12.5" style="6" customWidth="1"/>
    <col min="14352" max="14352" width="8.5" style="6" customWidth="1"/>
    <col min="14353" max="14591" width="10.6640625" style="6"/>
    <col min="14592" max="14592" width="13.1640625" style="6" customWidth="1"/>
    <col min="14593" max="14593" width="79" style="6" customWidth="1"/>
    <col min="14594" max="14594" width="3.83203125" style="6" customWidth="1"/>
    <col min="14595" max="14607" width="12.5" style="6" customWidth="1"/>
    <col min="14608" max="14608" width="8.5" style="6" customWidth="1"/>
    <col min="14609" max="14847" width="10.6640625" style="6"/>
    <col min="14848" max="14848" width="13.1640625" style="6" customWidth="1"/>
    <col min="14849" max="14849" width="79" style="6" customWidth="1"/>
    <col min="14850" max="14850" width="3.83203125" style="6" customWidth="1"/>
    <col min="14851" max="14863" width="12.5" style="6" customWidth="1"/>
    <col min="14864" max="14864" width="8.5" style="6" customWidth="1"/>
    <col min="14865" max="15103" width="10.6640625" style="6"/>
    <col min="15104" max="15104" width="13.1640625" style="6" customWidth="1"/>
    <col min="15105" max="15105" width="79" style="6" customWidth="1"/>
    <col min="15106" max="15106" width="3.83203125" style="6" customWidth="1"/>
    <col min="15107" max="15119" width="12.5" style="6" customWidth="1"/>
    <col min="15120" max="15120" width="8.5" style="6" customWidth="1"/>
    <col min="15121" max="15359" width="10.6640625" style="6"/>
    <col min="15360" max="15360" width="13.1640625" style="6" customWidth="1"/>
    <col min="15361" max="15361" width="79" style="6" customWidth="1"/>
    <col min="15362" max="15362" width="3.83203125" style="6" customWidth="1"/>
    <col min="15363" max="15375" width="12.5" style="6" customWidth="1"/>
    <col min="15376" max="15376" width="8.5" style="6" customWidth="1"/>
    <col min="15377" max="15615" width="10.6640625" style="6"/>
    <col min="15616" max="15616" width="13.1640625" style="6" customWidth="1"/>
    <col min="15617" max="15617" width="79" style="6" customWidth="1"/>
    <col min="15618" max="15618" width="3.83203125" style="6" customWidth="1"/>
    <col min="15619" max="15631" width="12.5" style="6" customWidth="1"/>
    <col min="15632" max="15632" width="8.5" style="6" customWidth="1"/>
    <col min="15633" max="15871" width="10.6640625" style="6"/>
    <col min="15872" max="15872" width="13.1640625" style="6" customWidth="1"/>
    <col min="15873" max="15873" width="79" style="6" customWidth="1"/>
    <col min="15874" max="15874" width="3.83203125" style="6" customWidth="1"/>
    <col min="15875" max="15887" width="12.5" style="6" customWidth="1"/>
    <col min="15888" max="15888" width="8.5" style="6" customWidth="1"/>
    <col min="15889" max="16127" width="10.6640625" style="6"/>
    <col min="16128" max="16128" width="13.1640625" style="6" customWidth="1"/>
    <col min="16129" max="16129" width="79" style="6" customWidth="1"/>
    <col min="16130" max="16130" width="3.83203125" style="6" customWidth="1"/>
    <col min="16131" max="16143" width="12.5" style="6" customWidth="1"/>
    <col min="16144" max="16144" width="8.5" style="6" customWidth="1"/>
    <col min="16145" max="16384" width="10.6640625" style="6"/>
  </cols>
  <sheetData>
    <row r="1" spans="1:19" ht="13.5" thickBot="1" x14ac:dyDescent="0.25">
      <c r="A1" s="551" t="s">
        <v>35</v>
      </c>
      <c r="B1" s="550">
        <v>3</v>
      </c>
      <c r="C1" s="549"/>
      <c r="D1" s="548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</row>
    <row r="2" spans="1:19" ht="13.5" thickTop="1" x14ac:dyDescent="0.2">
      <c r="A2" s="547" t="str">
        <f t="shared" ref="A2:A12" si="0">CONCATENATE($B$1,"|",B2)</f>
        <v>3|1</v>
      </c>
      <c r="B2" s="539">
        <v>1</v>
      </c>
      <c r="C2" s="534" t="s">
        <v>158</v>
      </c>
      <c r="D2" s="533">
        <v>1</v>
      </c>
      <c r="E2" s="537">
        <v>50</v>
      </c>
      <c r="F2" s="537">
        <v>50</v>
      </c>
      <c r="G2" s="537"/>
      <c r="H2" s="537"/>
      <c r="I2" s="537"/>
      <c r="J2" s="538"/>
      <c r="K2" s="538"/>
      <c r="L2" s="538"/>
      <c r="M2" s="538"/>
      <c r="N2" s="538"/>
      <c r="O2" s="538"/>
      <c r="P2" s="538"/>
      <c r="S2" s="6">
        <f t="shared" ref="S2:S12" si="1">SUM(E2:P2)</f>
        <v>100</v>
      </c>
    </row>
    <row r="3" spans="1:19" x14ac:dyDescent="0.2">
      <c r="A3" s="536" t="str">
        <f t="shared" si="0"/>
        <v>3|2</v>
      </c>
      <c r="B3" s="535" t="s">
        <v>90</v>
      </c>
      <c r="C3" s="534" t="s">
        <v>154</v>
      </c>
      <c r="D3" s="533">
        <v>2</v>
      </c>
      <c r="E3" s="537">
        <v>50</v>
      </c>
      <c r="F3" s="537">
        <v>50</v>
      </c>
      <c r="G3" s="537"/>
      <c r="H3" s="537"/>
      <c r="I3" s="537"/>
      <c r="J3" s="531"/>
      <c r="K3" s="531"/>
      <c r="L3" s="531"/>
      <c r="M3" s="531"/>
      <c r="N3" s="531"/>
      <c r="O3" s="531"/>
      <c r="P3" s="531"/>
      <c r="S3" s="6">
        <f t="shared" si="1"/>
        <v>100</v>
      </c>
    </row>
    <row r="4" spans="1:19" x14ac:dyDescent="0.2">
      <c r="A4" s="536" t="str">
        <f t="shared" si="0"/>
        <v>3|3</v>
      </c>
      <c r="B4" s="535" t="s">
        <v>95</v>
      </c>
      <c r="C4" s="534" t="s">
        <v>159</v>
      </c>
      <c r="D4" s="533">
        <v>3</v>
      </c>
      <c r="E4" s="532">
        <v>25</v>
      </c>
      <c r="F4" s="532">
        <v>60</v>
      </c>
      <c r="G4" s="532">
        <v>15</v>
      </c>
      <c r="H4" s="532"/>
      <c r="I4" s="532"/>
      <c r="J4" s="531"/>
      <c r="K4" s="531"/>
      <c r="L4" s="531"/>
      <c r="M4" s="531"/>
      <c r="N4" s="531"/>
      <c r="O4" s="531"/>
      <c r="P4" s="531"/>
      <c r="S4" s="6">
        <f t="shared" si="1"/>
        <v>100</v>
      </c>
    </row>
    <row r="5" spans="1:19" x14ac:dyDescent="0.2">
      <c r="A5" s="536" t="str">
        <f t="shared" si="0"/>
        <v>3|4</v>
      </c>
      <c r="B5" s="535" t="s">
        <v>97</v>
      </c>
      <c r="C5" s="534" t="s">
        <v>155</v>
      </c>
      <c r="D5" s="533">
        <v>4</v>
      </c>
      <c r="E5" s="532"/>
      <c r="F5" s="532">
        <v>50</v>
      </c>
      <c r="G5" s="532">
        <v>50</v>
      </c>
      <c r="H5" s="532"/>
      <c r="I5" s="532"/>
      <c r="J5" s="531"/>
      <c r="K5" s="531"/>
      <c r="L5" s="531"/>
      <c r="M5" s="531"/>
      <c r="N5" s="531"/>
      <c r="O5" s="531"/>
      <c r="P5" s="531"/>
      <c r="S5" s="6">
        <f t="shared" si="1"/>
        <v>100</v>
      </c>
    </row>
    <row r="6" spans="1:19" x14ac:dyDescent="0.2">
      <c r="A6" s="536" t="str">
        <f t="shared" si="0"/>
        <v>3|5</v>
      </c>
      <c r="B6" s="535" t="s">
        <v>89</v>
      </c>
      <c r="C6" s="534" t="s">
        <v>156</v>
      </c>
      <c r="D6" s="533">
        <v>5</v>
      </c>
      <c r="E6" s="532">
        <v>20</v>
      </c>
      <c r="F6" s="532">
        <v>50</v>
      </c>
      <c r="G6" s="532">
        <v>30</v>
      </c>
      <c r="H6" s="532"/>
      <c r="I6" s="532"/>
      <c r="J6" s="531"/>
      <c r="K6" s="531"/>
      <c r="L6" s="531"/>
      <c r="M6" s="531"/>
      <c r="N6" s="531"/>
      <c r="O6" s="531"/>
      <c r="P6" s="531"/>
      <c r="S6" s="6">
        <f t="shared" si="1"/>
        <v>100</v>
      </c>
    </row>
    <row r="7" spans="1:19" x14ac:dyDescent="0.2">
      <c r="A7" s="536" t="str">
        <f t="shared" si="0"/>
        <v>3|6</v>
      </c>
      <c r="B7" s="535" t="s">
        <v>98</v>
      </c>
      <c r="C7" s="534" t="s">
        <v>160</v>
      </c>
      <c r="D7" s="533">
        <v>3</v>
      </c>
      <c r="E7" s="532"/>
      <c r="F7" s="532">
        <v>50</v>
      </c>
      <c r="G7" s="532">
        <v>50</v>
      </c>
      <c r="H7" s="532"/>
      <c r="I7" s="532"/>
      <c r="J7" s="531"/>
      <c r="K7" s="531"/>
      <c r="L7" s="531"/>
      <c r="M7" s="531"/>
      <c r="N7" s="531"/>
      <c r="O7" s="531"/>
      <c r="P7" s="531"/>
      <c r="S7" s="6">
        <f t="shared" si="1"/>
        <v>100</v>
      </c>
    </row>
    <row r="8" spans="1:19" x14ac:dyDescent="0.2">
      <c r="A8" s="536" t="str">
        <f t="shared" si="0"/>
        <v>3|7</v>
      </c>
      <c r="B8" s="535" t="s">
        <v>153</v>
      </c>
      <c r="C8" s="534" t="s">
        <v>161</v>
      </c>
      <c r="D8" s="533">
        <v>5</v>
      </c>
      <c r="E8" s="532"/>
      <c r="F8" s="532">
        <v>20</v>
      </c>
      <c r="G8" s="532">
        <v>80</v>
      </c>
      <c r="H8" s="532"/>
      <c r="I8" s="532"/>
      <c r="J8" s="531"/>
      <c r="K8" s="531"/>
      <c r="L8" s="531"/>
      <c r="M8" s="531"/>
      <c r="N8" s="531"/>
      <c r="O8" s="531"/>
      <c r="P8" s="531"/>
      <c r="S8" s="6">
        <f t="shared" si="1"/>
        <v>100</v>
      </c>
    </row>
    <row r="9" spans="1:19" x14ac:dyDescent="0.2">
      <c r="A9" s="536" t="str">
        <f t="shared" si="0"/>
        <v>3|8</v>
      </c>
      <c r="B9" s="535" t="s">
        <v>110</v>
      </c>
      <c r="C9" s="534" t="s">
        <v>162</v>
      </c>
      <c r="D9" s="533">
        <v>6</v>
      </c>
      <c r="E9" s="532"/>
      <c r="F9" s="532">
        <v>50</v>
      </c>
      <c r="G9" s="532">
        <v>50</v>
      </c>
      <c r="H9" s="532"/>
      <c r="I9" s="532"/>
      <c r="J9" s="531"/>
      <c r="K9" s="531"/>
      <c r="L9" s="531"/>
      <c r="M9" s="531"/>
      <c r="N9" s="531"/>
      <c r="O9" s="531"/>
      <c r="P9" s="531"/>
      <c r="S9" s="6">
        <f t="shared" si="1"/>
        <v>100</v>
      </c>
    </row>
    <row r="10" spans="1:19" x14ac:dyDescent="0.2">
      <c r="A10" s="536" t="str">
        <f t="shared" si="0"/>
        <v>3|9</v>
      </c>
      <c r="B10" s="535" t="s">
        <v>163</v>
      </c>
      <c r="C10" s="534" t="s">
        <v>164</v>
      </c>
      <c r="D10" s="533">
        <v>6</v>
      </c>
      <c r="E10" s="532">
        <v>30</v>
      </c>
      <c r="F10" s="532">
        <v>40</v>
      </c>
      <c r="G10" s="532">
        <v>30</v>
      </c>
      <c r="H10" s="532"/>
      <c r="I10" s="532"/>
      <c r="J10" s="531"/>
      <c r="K10" s="531"/>
      <c r="L10" s="531"/>
      <c r="M10" s="531"/>
      <c r="N10" s="531"/>
      <c r="O10" s="531"/>
      <c r="P10" s="531"/>
      <c r="S10" s="6">
        <f t="shared" si="1"/>
        <v>100</v>
      </c>
    </row>
    <row r="11" spans="1:19" x14ac:dyDescent="0.2">
      <c r="A11" s="536" t="str">
        <f t="shared" si="0"/>
        <v>3|10</v>
      </c>
      <c r="B11" s="535" t="s">
        <v>165</v>
      </c>
      <c r="C11" s="534" t="s">
        <v>157</v>
      </c>
      <c r="D11" s="533"/>
      <c r="E11" s="532">
        <v>60</v>
      </c>
      <c r="F11" s="532">
        <v>40</v>
      </c>
      <c r="G11" s="532"/>
      <c r="H11" s="532"/>
      <c r="I11" s="532"/>
      <c r="J11" s="531"/>
      <c r="K11" s="531"/>
      <c r="L11" s="531"/>
      <c r="M11" s="531"/>
      <c r="N11" s="531"/>
      <c r="O11" s="531"/>
      <c r="P11" s="531"/>
      <c r="S11" s="6">
        <f t="shared" si="1"/>
        <v>100</v>
      </c>
    </row>
    <row r="12" spans="1:19" x14ac:dyDescent="0.2">
      <c r="A12" s="536" t="str">
        <f t="shared" si="0"/>
        <v>3|11</v>
      </c>
      <c r="B12" s="535" t="s">
        <v>172</v>
      </c>
      <c r="C12" s="534" t="s">
        <v>189</v>
      </c>
      <c r="D12" s="533"/>
      <c r="E12" s="532">
        <v>15</v>
      </c>
      <c r="F12" s="532">
        <v>60</v>
      </c>
      <c r="G12" s="532">
        <v>25</v>
      </c>
      <c r="H12" s="532"/>
      <c r="I12" s="532"/>
      <c r="J12" s="531"/>
      <c r="K12" s="531"/>
      <c r="L12" s="531"/>
      <c r="M12" s="531"/>
      <c r="N12" s="531"/>
      <c r="O12" s="531"/>
      <c r="P12" s="531"/>
      <c r="S12" s="6">
        <f t="shared" si="1"/>
        <v>100</v>
      </c>
    </row>
    <row r="13" spans="1:19" ht="5.45" customHeight="1" x14ac:dyDescent="0.2"/>
    <row r="14" spans="1:19" ht="13.5" thickBot="1" x14ac:dyDescent="0.25">
      <c r="A14" s="545" t="s">
        <v>35</v>
      </c>
      <c r="B14" s="544">
        <v>4</v>
      </c>
      <c r="C14" s="543"/>
      <c r="D14" s="542"/>
      <c r="E14" s="541"/>
      <c r="F14" s="541"/>
      <c r="G14" s="541"/>
      <c r="H14" s="541"/>
      <c r="I14" s="541"/>
      <c r="J14" s="541"/>
      <c r="K14" s="541"/>
      <c r="L14" s="541"/>
      <c r="M14" s="541"/>
      <c r="N14" s="541"/>
      <c r="O14" s="541"/>
      <c r="P14" s="541"/>
    </row>
    <row r="15" spans="1:19" ht="13.5" thickTop="1" x14ac:dyDescent="0.2">
      <c r="A15" s="540" t="str">
        <f t="shared" ref="A15:A25" si="2">CONCATENATE($B$14,"|",B15)</f>
        <v>4|1</v>
      </c>
      <c r="B15" s="539">
        <v>1</v>
      </c>
      <c r="C15" s="534" t="s">
        <v>158</v>
      </c>
      <c r="D15" s="533">
        <v>1</v>
      </c>
      <c r="E15" s="537">
        <v>45</v>
      </c>
      <c r="F15" s="537">
        <v>45</v>
      </c>
      <c r="G15" s="537">
        <v>10</v>
      </c>
      <c r="H15" s="537"/>
      <c r="I15" s="537"/>
      <c r="J15" s="538"/>
      <c r="K15" s="538"/>
      <c r="L15" s="538"/>
      <c r="M15" s="538"/>
      <c r="N15" s="538"/>
      <c r="O15" s="538"/>
      <c r="P15" s="538"/>
      <c r="S15" s="6">
        <f t="shared" ref="S15:S25" si="3">SUM(E15:P15)</f>
        <v>100</v>
      </c>
    </row>
    <row r="16" spans="1:19" x14ac:dyDescent="0.2">
      <c r="A16" s="536" t="str">
        <f t="shared" si="2"/>
        <v>4|2</v>
      </c>
      <c r="B16" s="535" t="s">
        <v>90</v>
      </c>
      <c r="C16" s="534" t="s">
        <v>154</v>
      </c>
      <c r="D16" s="533">
        <v>2</v>
      </c>
      <c r="E16" s="537">
        <v>40</v>
      </c>
      <c r="F16" s="537">
        <v>40</v>
      </c>
      <c r="G16" s="537">
        <v>20</v>
      </c>
      <c r="H16" s="537"/>
      <c r="I16" s="537"/>
      <c r="J16" s="531"/>
      <c r="K16" s="531"/>
      <c r="L16" s="531"/>
      <c r="M16" s="531"/>
      <c r="N16" s="531"/>
      <c r="O16" s="531"/>
      <c r="P16" s="531"/>
      <c r="S16" s="6">
        <f t="shared" si="3"/>
        <v>100</v>
      </c>
    </row>
    <row r="17" spans="1:19" x14ac:dyDescent="0.2">
      <c r="A17" s="536" t="str">
        <f t="shared" si="2"/>
        <v>4|3</v>
      </c>
      <c r="B17" s="535" t="s">
        <v>95</v>
      </c>
      <c r="C17" s="534" t="s">
        <v>159</v>
      </c>
      <c r="D17" s="533">
        <v>3</v>
      </c>
      <c r="E17" s="532">
        <v>20</v>
      </c>
      <c r="F17" s="532">
        <v>35</v>
      </c>
      <c r="G17" s="532">
        <v>35</v>
      </c>
      <c r="H17" s="532">
        <v>10</v>
      </c>
      <c r="I17" s="532"/>
      <c r="J17" s="531"/>
      <c r="K17" s="531"/>
      <c r="L17" s="531"/>
      <c r="M17" s="531"/>
      <c r="N17" s="531"/>
      <c r="O17" s="531"/>
      <c r="P17" s="531"/>
      <c r="S17" s="6">
        <f t="shared" si="3"/>
        <v>100</v>
      </c>
    </row>
    <row r="18" spans="1:19" x14ac:dyDescent="0.2">
      <c r="A18" s="536" t="str">
        <f t="shared" si="2"/>
        <v>4|4</v>
      </c>
      <c r="B18" s="535" t="s">
        <v>97</v>
      </c>
      <c r="C18" s="534" t="s">
        <v>155</v>
      </c>
      <c r="D18" s="533">
        <v>4</v>
      </c>
      <c r="E18" s="532"/>
      <c r="F18" s="532">
        <v>35</v>
      </c>
      <c r="G18" s="532">
        <v>35</v>
      </c>
      <c r="H18" s="532">
        <v>30</v>
      </c>
      <c r="I18" s="532"/>
      <c r="J18" s="531"/>
      <c r="K18" s="531"/>
      <c r="L18" s="531"/>
      <c r="M18" s="531"/>
      <c r="N18" s="531"/>
      <c r="O18" s="531"/>
      <c r="P18" s="531"/>
      <c r="S18" s="6">
        <f t="shared" si="3"/>
        <v>100</v>
      </c>
    </row>
    <row r="19" spans="1:19" x14ac:dyDescent="0.2">
      <c r="A19" s="536" t="str">
        <f t="shared" si="2"/>
        <v>4|5</v>
      </c>
      <c r="B19" s="535" t="s">
        <v>89</v>
      </c>
      <c r="C19" s="534" t="s">
        <v>156</v>
      </c>
      <c r="D19" s="533">
        <v>5</v>
      </c>
      <c r="E19" s="532">
        <v>10</v>
      </c>
      <c r="F19" s="532">
        <v>35</v>
      </c>
      <c r="G19" s="532">
        <v>35</v>
      </c>
      <c r="H19" s="532">
        <v>20</v>
      </c>
      <c r="I19" s="532"/>
      <c r="J19" s="531"/>
      <c r="K19" s="531"/>
      <c r="L19" s="531"/>
      <c r="M19" s="531"/>
      <c r="N19" s="531"/>
      <c r="O19" s="531"/>
      <c r="P19" s="531"/>
      <c r="S19" s="6">
        <f t="shared" si="3"/>
        <v>100</v>
      </c>
    </row>
    <row r="20" spans="1:19" x14ac:dyDescent="0.2">
      <c r="A20" s="536" t="str">
        <f t="shared" si="2"/>
        <v>4|6</v>
      </c>
      <c r="B20" s="535" t="s">
        <v>98</v>
      </c>
      <c r="C20" s="534" t="s">
        <v>160</v>
      </c>
      <c r="D20" s="533">
        <v>3</v>
      </c>
      <c r="E20" s="532"/>
      <c r="F20" s="532">
        <v>35</v>
      </c>
      <c r="G20" s="532">
        <v>35</v>
      </c>
      <c r="H20" s="532">
        <v>30</v>
      </c>
      <c r="I20" s="532"/>
      <c r="J20" s="531"/>
      <c r="K20" s="531"/>
      <c r="L20" s="531"/>
      <c r="M20" s="531"/>
      <c r="N20" s="531"/>
      <c r="O20" s="531"/>
      <c r="P20" s="531"/>
      <c r="S20" s="6">
        <f t="shared" si="3"/>
        <v>100</v>
      </c>
    </row>
    <row r="21" spans="1:19" x14ac:dyDescent="0.2">
      <c r="A21" s="536" t="str">
        <f t="shared" si="2"/>
        <v>4|7</v>
      </c>
      <c r="B21" s="535" t="s">
        <v>153</v>
      </c>
      <c r="C21" s="534" t="s">
        <v>161</v>
      </c>
      <c r="D21" s="533">
        <v>5</v>
      </c>
      <c r="E21" s="532"/>
      <c r="F21" s="532">
        <v>15</v>
      </c>
      <c r="G21" s="532">
        <v>60</v>
      </c>
      <c r="H21" s="532">
        <v>25</v>
      </c>
      <c r="I21" s="532"/>
      <c r="J21" s="531"/>
      <c r="K21" s="531"/>
      <c r="L21" s="531"/>
      <c r="M21" s="531"/>
      <c r="N21" s="531"/>
      <c r="O21" s="531"/>
      <c r="P21" s="531"/>
      <c r="S21" s="6">
        <f t="shared" si="3"/>
        <v>100</v>
      </c>
    </row>
    <row r="22" spans="1:19" x14ac:dyDescent="0.2">
      <c r="A22" s="536" t="str">
        <f t="shared" si="2"/>
        <v>4|8</v>
      </c>
      <c r="B22" s="535" t="s">
        <v>110</v>
      </c>
      <c r="C22" s="534" t="s">
        <v>162</v>
      </c>
      <c r="D22" s="533">
        <v>6</v>
      </c>
      <c r="E22" s="532"/>
      <c r="F22" s="532">
        <v>30</v>
      </c>
      <c r="G22" s="532">
        <v>40</v>
      </c>
      <c r="H22" s="532">
        <v>30</v>
      </c>
      <c r="I22" s="532"/>
      <c r="J22" s="531"/>
      <c r="K22" s="531"/>
      <c r="L22" s="531"/>
      <c r="M22" s="531"/>
      <c r="N22" s="531"/>
      <c r="O22" s="531"/>
      <c r="P22" s="531"/>
      <c r="S22" s="6">
        <f t="shared" si="3"/>
        <v>100</v>
      </c>
    </row>
    <row r="23" spans="1:19" x14ac:dyDescent="0.2">
      <c r="A23" s="536" t="str">
        <f t="shared" si="2"/>
        <v>4|9</v>
      </c>
      <c r="B23" s="535" t="s">
        <v>163</v>
      </c>
      <c r="C23" s="534" t="s">
        <v>164</v>
      </c>
      <c r="D23" s="533">
        <v>6</v>
      </c>
      <c r="E23" s="532">
        <v>10</v>
      </c>
      <c r="F23" s="532">
        <v>35</v>
      </c>
      <c r="G23" s="532">
        <v>35</v>
      </c>
      <c r="H23" s="532">
        <v>20</v>
      </c>
      <c r="I23" s="532"/>
      <c r="J23" s="531"/>
      <c r="K23" s="531"/>
      <c r="L23" s="531"/>
      <c r="M23" s="531"/>
      <c r="N23" s="531"/>
      <c r="O23" s="531"/>
      <c r="P23" s="531"/>
      <c r="S23" s="6">
        <f t="shared" si="3"/>
        <v>100</v>
      </c>
    </row>
    <row r="24" spans="1:19" x14ac:dyDescent="0.2">
      <c r="A24" s="536" t="str">
        <f t="shared" si="2"/>
        <v>4|10</v>
      </c>
      <c r="B24" s="535" t="s">
        <v>165</v>
      </c>
      <c r="C24" s="534" t="s">
        <v>157</v>
      </c>
      <c r="D24" s="533"/>
      <c r="E24" s="532">
        <v>40</v>
      </c>
      <c r="F24" s="532">
        <v>40</v>
      </c>
      <c r="G24" s="532">
        <v>20</v>
      </c>
      <c r="H24" s="532"/>
      <c r="I24" s="532"/>
      <c r="J24" s="531"/>
      <c r="K24" s="531"/>
      <c r="L24" s="531"/>
      <c r="M24" s="531"/>
      <c r="N24" s="531"/>
      <c r="O24" s="531"/>
      <c r="P24" s="531"/>
      <c r="S24" s="6">
        <f t="shared" si="3"/>
        <v>100</v>
      </c>
    </row>
    <row r="25" spans="1:19" x14ac:dyDescent="0.2">
      <c r="A25" s="546" t="str">
        <f t="shared" si="2"/>
        <v>4|11</v>
      </c>
      <c r="B25" s="535" t="s">
        <v>172</v>
      </c>
      <c r="C25" s="534" t="s">
        <v>189</v>
      </c>
      <c r="D25" s="533"/>
      <c r="E25" s="532">
        <v>10</v>
      </c>
      <c r="F25" s="532">
        <v>35</v>
      </c>
      <c r="G25" s="532">
        <v>35</v>
      </c>
      <c r="H25" s="532">
        <v>20</v>
      </c>
      <c r="I25" s="532"/>
      <c r="J25" s="531"/>
      <c r="K25" s="531"/>
      <c r="L25" s="531"/>
      <c r="M25" s="531"/>
      <c r="N25" s="531"/>
      <c r="O25" s="531"/>
      <c r="P25" s="531"/>
      <c r="S25" s="6">
        <f t="shared" si="3"/>
        <v>100</v>
      </c>
    </row>
    <row r="26" spans="1:19" ht="5.45" customHeight="1" x14ac:dyDescent="0.2"/>
    <row r="27" spans="1:19" ht="13.5" thickBot="1" x14ac:dyDescent="0.25">
      <c r="A27" s="545" t="s">
        <v>35</v>
      </c>
      <c r="B27" s="544">
        <v>5</v>
      </c>
      <c r="C27" s="543"/>
      <c r="D27" s="542"/>
      <c r="E27" s="541"/>
      <c r="F27" s="541"/>
      <c r="G27" s="541"/>
      <c r="H27" s="541"/>
      <c r="I27" s="541"/>
      <c r="J27" s="541"/>
      <c r="K27" s="541"/>
      <c r="L27" s="541"/>
      <c r="M27" s="541"/>
      <c r="N27" s="541"/>
      <c r="O27" s="541"/>
      <c r="P27" s="541"/>
    </row>
    <row r="28" spans="1:19" ht="13.5" thickTop="1" x14ac:dyDescent="0.2">
      <c r="A28" s="540" t="str">
        <f t="shared" ref="A28:A38" si="4">CONCATENATE($B$27,"|",B28)</f>
        <v>5|1</v>
      </c>
      <c r="B28" s="539">
        <v>1</v>
      </c>
      <c r="C28" s="534" t="s">
        <v>158</v>
      </c>
      <c r="D28" s="533">
        <v>1</v>
      </c>
      <c r="E28" s="537">
        <v>40</v>
      </c>
      <c r="F28" s="537">
        <v>30</v>
      </c>
      <c r="G28" s="537">
        <v>25</v>
      </c>
      <c r="H28" s="537">
        <v>5</v>
      </c>
      <c r="I28" s="537"/>
      <c r="J28" s="538"/>
      <c r="K28" s="538"/>
      <c r="L28" s="538"/>
      <c r="M28" s="538"/>
      <c r="N28" s="538"/>
      <c r="O28" s="538"/>
      <c r="P28" s="538"/>
      <c r="S28" s="6">
        <f t="shared" ref="S28:S38" si="5">SUM(E28:P28)</f>
        <v>100</v>
      </c>
    </row>
    <row r="29" spans="1:19" x14ac:dyDescent="0.2">
      <c r="A29" s="536" t="str">
        <f t="shared" si="4"/>
        <v>5|2</v>
      </c>
      <c r="B29" s="535" t="s">
        <v>90</v>
      </c>
      <c r="C29" s="534" t="s">
        <v>154</v>
      </c>
      <c r="D29" s="533">
        <v>2</v>
      </c>
      <c r="E29" s="537">
        <v>30</v>
      </c>
      <c r="F29" s="537">
        <v>30</v>
      </c>
      <c r="G29" s="537">
        <v>30</v>
      </c>
      <c r="H29" s="537">
        <v>10</v>
      </c>
      <c r="I29" s="537"/>
      <c r="J29" s="531"/>
      <c r="K29" s="531"/>
      <c r="L29" s="531"/>
      <c r="M29" s="531"/>
      <c r="N29" s="531"/>
      <c r="O29" s="531"/>
      <c r="P29" s="531"/>
      <c r="S29" s="6">
        <f t="shared" si="5"/>
        <v>100</v>
      </c>
    </row>
    <row r="30" spans="1:19" x14ac:dyDescent="0.2">
      <c r="A30" s="536" t="str">
        <f t="shared" si="4"/>
        <v>5|3</v>
      </c>
      <c r="B30" s="535" t="s">
        <v>95</v>
      </c>
      <c r="C30" s="534" t="s">
        <v>159</v>
      </c>
      <c r="D30" s="533">
        <v>3</v>
      </c>
      <c r="E30" s="532">
        <v>10</v>
      </c>
      <c r="F30" s="532">
        <v>30</v>
      </c>
      <c r="G30" s="532">
        <v>30</v>
      </c>
      <c r="H30" s="532">
        <v>25</v>
      </c>
      <c r="I30" s="532">
        <v>5</v>
      </c>
      <c r="J30" s="531"/>
      <c r="K30" s="531"/>
      <c r="L30" s="531"/>
      <c r="M30" s="531"/>
      <c r="N30" s="531"/>
      <c r="O30" s="531"/>
      <c r="P30" s="531"/>
      <c r="S30" s="6">
        <f t="shared" si="5"/>
        <v>100</v>
      </c>
    </row>
    <row r="31" spans="1:19" x14ac:dyDescent="0.2">
      <c r="A31" s="536" t="str">
        <f t="shared" si="4"/>
        <v>5|4</v>
      </c>
      <c r="B31" s="535" t="s">
        <v>97</v>
      </c>
      <c r="C31" s="534" t="s">
        <v>155</v>
      </c>
      <c r="D31" s="533">
        <v>4</v>
      </c>
      <c r="E31" s="532"/>
      <c r="F31" s="532">
        <v>15</v>
      </c>
      <c r="G31" s="532">
        <v>30</v>
      </c>
      <c r="H31" s="532">
        <v>30</v>
      </c>
      <c r="I31" s="532">
        <v>25</v>
      </c>
      <c r="J31" s="531"/>
      <c r="K31" s="531"/>
      <c r="L31" s="531"/>
      <c r="M31" s="531"/>
      <c r="N31" s="531"/>
      <c r="O31" s="531"/>
      <c r="P31" s="531"/>
      <c r="S31" s="6">
        <f t="shared" si="5"/>
        <v>100</v>
      </c>
    </row>
    <row r="32" spans="1:19" x14ac:dyDescent="0.2">
      <c r="A32" s="536" t="str">
        <f t="shared" si="4"/>
        <v>5|5</v>
      </c>
      <c r="B32" s="535" t="s">
        <v>89</v>
      </c>
      <c r="C32" s="534" t="s">
        <v>156</v>
      </c>
      <c r="D32" s="533">
        <v>5</v>
      </c>
      <c r="E32" s="532"/>
      <c r="F32" s="532">
        <v>25</v>
      </c>
      <c r="G32" s="532">
        <v>35</v>
      </c>
      <c r="H32" s="532">
        <v>35</v>
      </c>
      <c r="I32" s="532">
        <v>5</v>
      </c>
      <c r="J32" s="531"/>
      <c r="K32" s="531"/>
      <c r="L32" s="531"/>
      <c r="M32" s="531"/>
      <c r="N32" s="531"/>
      <c r="O32" s="531"/>
      <c r="P32" s="531"/>
      <c r="S32" s="6">
        <f t="shared" si="5"/>
        <v>100</v>
      </c>
    </row>
    <row r="33" spans="1:19" x14ac:dyDescent="0.2">
      <c r="A33" s="536" t="str">
        <f t="shared" si="4"/>
        <v>5|6</v>
      </c>
      <c r="B33" s="535" t="s">
        <v>98</v>
      </c>
      <c r="C33" s="534" t="s">
        <v>160</v>
      </c>
      <c r="D33" s="533">
        <v>3</v>
      </c>
      <c r="E33" s="532"/>
      <c r="F33" s="532">
        <v>5</v>
      </c>
      <c r="G33" s="532">
        <v>40</v>
      </c>
      <c r="H33" s="532">
        <v>30</v>
      </c>
      <c r="I33" s="532">
        <v>25</v>
      </c>
      <c r="J33" s="531"/>
      <c r="K33" s="531"/>
      <c r="L33" s="531"/>
      <c r="M33" s="531"/>
      <c r="N33" s="531"/>
      <c r="O33" s="531"/>
      <c r="P33" s="531"/>
      <c r="S33" s="6">
        <f t="shared" si="5"/>
        <v>100</v>
      </c>
    </row>
    <row r="34" spans="1:19" x14ac:dyDescent="0.2">
      <c r="A34" s="536" t="str">
        <f t="shared" si="4"/>
        <v>5|7</v>
      </c>
      <c r="B34" s="535" t="s">
        <v>153</v>
      </c>
      <c r="C34" s="534" t="s">
        <v>161</v>
      </c>
      <c r="D34" s="533">
        <v>5</v>
      </c>
      <c r="E34" s="532"/>
      <c r="F34" s="532">
        <v>10</v>
      </c>
      <c r="G34" s="532">
        <v>35</v>
      </c>
      <c r="H34" s="532">
        <v>35</v>
      </c>
      <c r="I34" s="532">
        <v>20</v>
      </c>
      <c r="J34" s="531"/>
      <c r="K34" s="531"/>
      <c r="L34" s="531"/>
      <c r="M34" s="531"/>
      <c r="N34" s="531"/>
      <c r="O34" s="531"/>
      <c r="P34" s="531"/>
      <c r="S34" s="6">
        <f t="shared" si="5"/>
        <v>100</v>
      </c>
    </row>
    <row r="35" spans="1:19" x14ac:dyDescent="0.2">
      <c r="A35" s="536" t="str">
        <f t="shared" si="4"/>
        <v>5|8</v>
      </c>
      <c r="B35" s="535" t="s">
        <v>110</v>
      </c>
      <c r="C35" s="534" t="s">
        <v>162</v>
      </c>
      <c r="D35" s="533">
        <v>6</v>
      </c>
      <c r="E35" s="532"/>
      <c r="F35" s="532">
        <v>10</v>
      </c>
      <c r="G35" s="532">
        <v>35</v>
      </c>
      <c r="H35" s="532">
        <v>35</v>
      </c>
      <c r="I35" s="532">
        <v>20</v>
      </c>
      <c r="J35" s="531"/>
      <c r="K35" s="531"/>
      <c r="L35" s="531"/>
      <c r="M35" s="531"/>
      <c r="N35" s="531"/>
      <c r="O35" s="531"/>
      <c r="P35" s="531"/>
      <c r="S35" s="6">
        <f t="shared" si="5"/>
        <v>100</v>
      </c>
    </row>
    <row r="36" spans="1:19" x14ac:dyDescent="0.2">
      <c r="A36" s="536" t="str">
        <f t="shared" si="4"/>
        <v>5|9</v>
      </c>
      <c r="B36" s="535" t="s">
        <v>163</v>
      </c>
      <c r="C36" s="534" t="s">
        <v>164</v>
      </c>
      <c r="D36" s="533">
        <v>6</v>
      </c>
      <c r="E36" s="532">
        <v>5</v>
      </c>
      <c r="F36" s="532">
        <v>25</v>
      </c>
      <c r="G36" s="532">
        <v>25</v>
      </c>
      <c r="H36" s="532">
        <v>25</v>
      </c>
      <c r="I36" s="532">
        <v>20</v>
      </c>
      <c r="J36" s="531"/>
      <c r="K36" s="531"/>
      <c r="L36" s="531"/>
      <c r="M36" s="531"/>
      <c r="N36" s="531"/>
      <c r="O36" s="531"/>
      <c r="P36" s="531"/>
      <c r="S36" s="6">
        <f t="shared" si="5"/>
        <v>100</v>
      </c>
    </row>
    <row r="37" spans="1:19" x14ac:dyDescent="0.2">
      <c r="A37" s="536" t="str">
        <f t="shared" si="4"/>
        <v>5|10</v>
      </c>
      <c r="B37" s="535" t="s">
        <v>165</v>
      </c>
      <c r="C37" s="534" t="s">
        <v>157</v>
      </c>
      <c r="D37" s="533"/>
      <c r="E37" s="532">
        <v>25</v>
      </c>
      <c r="F37" s="532">
        <v>30</v>
      </c>
      <c r="G37" s="532">
        <v>30</v>
      </c>
      <c r="H37" s="532">
        <v>15</v>
      </c>
      <c r="I37" s="532"/>
      <c r="J37" s="531"/>
      <c r="K37" s="531"/>
      <c r="L37" s="531"/>
      <c r="M37" s="531"/>
      <c r="N37" s="531"/>
      <c r="O37" s="531"/>
      <c r="P37" s="531"/>
      <c r="S37" s="6">
        <f t="shared" si="5"/>
        <v>100</v>
      </c>
    </row>
    <row r="38" spans="1:19" x14ac:dyDescent="0.2">
      <c r="A38" s="536" t="str">
        <f t="shared" si="4"/>
        <v>5|11</v>
      </c>
      <c r="B38" s="535" t="s">
        <v>172</v>
      </c>
      <c r="C38" s="534" t="s">
        <v>189</v>
      </c>
      <c r="D38" s="533"/>
      <c r="E38" s="532">
        <v>7</v>
      </c>
      <c r="F38" s="532">
        <v>21</v>
      </c>
      <c r="G38" s="532">
        <v>27</v>
      </c>
      <c r="H38" s="532">
        <v>28</v>
      </c>
      <c r="I38" s="532">
        <v>17</v>
      </c>
      <c r="J38" s="531"/>
      <c r="K38" s="531"/>
      <c r="L38" s="531"/>
      <c r="M38" s="531"/>
      <c r="N38" s="531"/>
      <c r="O38" s="531"/>
      <c r="P38" s="531"/>
      <c r="S38" s="6">
        <f t="shared" si="5"/>
        <v>100</v>
      </c>
    </row>
    <row r="39" spans="1:19" ht="5.45" customHeight="1" x14ac:dyDescent="0.2"/>
    <row r="40" spans="1:19" ht="13.5" thickBot="1" x14ac:dyDescent="0.25">
      <c r="A40" s="545" t="s">
        <v>35</v>
      </c>
      <c r="B40" s="544">
        <v>6</v>
      </c>
      <c r="C40" s="543"/>
      <c r="D40" s="542"/>
      <c r="E40" s="541"/>
      <c r="F40" s="541"/>
      <c r="G40" s="541"/>
      <c r="H40" s="541"/>
      <c r="I40" s="541"/>
      <c r="J40" s="541"/>
      <c r="K40" s="541"/>
      <c r="L40" s="541"/>
      <c r="M40" s="541"/>
      <c r="N40" s="541"/>
      <c r="O40" s="541"/>
      <c r="P40" s="541"/>
    </row>
    <row r="41" spans="1:19" ht="13.5" thickTop="1" x14ac:dyDescent="0.2">
      <c r="A41" s="540" t="str">
        <f t="shared" ref="A41:A51" si="6">CONCATENATE($B$40,"|",B41)</f>
        <v>6|1</v>
      </c>
      <c r="B41" s="539">
        <v>1</v>
      </c>
      <c r="C41" s="534" t="s">
        <v>158</v>
      </c>
      <c r="D41" s="533">
        <v>1</v>
      </c>
      <c r="E41" s="537">
        <v>20</v>
      </c>
      <c r="F41" s="537">
        <v>30</v>
      </c>
      <c r="G41" s="537">
        <v>30</v>
      </c>
      <c r="H41" s="537">
        <v>20</v>
      </c>
      <c r="I41" s="537"/>
      <c r="J41" s="538"/>
      <c r="K41" s="538"/>
      <c r="L41" s="538"/>
      <c r="M41" s="538"/>
      <c r="N41" s="538"/>
      <c r="O41" s="538"/>
      <c r="P41" s="538"/>
      <c r="S41" s="6">
        <f t="shared" ref="S41:S51" si="7">SUM(E41:P41)</f>
        <v>100</v>
      </c>
    </row>
    <row r="42" spans="1:19" x14ac:dyDescent="0.2">
      <c r="A42" s="536" t="str">
        <f t="shared" si="6"/>
        <v>6|2</v>
      </c>
      <c r="B42" s="535" t="s">
        <v>90</v>
      </c>
      <c r="C42" s="534" t="s">
        <v>154</v>
      </c>
      <c r="D42" s="533">
        <v>2</v>
      </c>
      <c r="E42" s="537">
        <v>15</v>
      </c>
      <c r="F42" s="537">
        <v>25</v>
      </c>
      <c r="G42" s="537">
        <v>30</v>
      </c>
      <c r="H42" s="537">
        <v>25</v>
      </c>
      <c r="I42" s="537">
        <v>5</v>
      </c>
      <c r="J42" s="531"/>
      <c r="K42" s="531"/>
      <c r="L42" s="531"/>
      <c r="M42" s="531"/>
      <c r="N42" s="531"/>
      <c r="O42" s="531"/>
      <c r="P42" s="531"/>
      <c r="S42" s="6">
        <f t="shared" si="7"/>
        <v>100</v>
      </c>
    </row>
    <row r="43" spans="1:19" x14ac:dyDescent="0.2">
      <c r="A43" s="536" t="str">
        <f t="shared" si="6"/>
        <v>6|3</v>
      </c>
      <c r="B43" s="535" t="s">
        <v>95</v>
      </c>
      <c r="C43" s="534" t="s">
        <v>159</v>
      </c>
      <c r="D43" s="533">
        <v>3</v>
      </c>
      <c r="E43" s="532">
        <v>5</v>
      </c>
      <c r="F43" s="532">
        <v>20</v>
      </c>
      <c r="G43" s="532">
        <v>30</v>
      </c>
      <c r="H43" s="532">
        <v>25</v>
      </c>
      <c r="I43" s="532">
        <v>20</v>
      </c>
      <c r="J43" s="531"/>
      <c r="K43" s="531"/>
      <c r="L43" s="531"/>
      <c r="M43" s="531"/>
      <c r="N43" s="531"/>
      <c r="O43" s="531"/>
      <c r="P43" s="531"/>
      <c r="S43" s="6">
        <f t="shared" si="7"/>
        <v>100</v>
      </c>
    </row>
    <row r="44" spans="1:19" x14ac:dyDescent="0.2">
      <c r="A44" s="536" t="str">
        <f t="shared" si="6"/>
        <v>6|4</v>
      </c>
      <c r="B44" s="535" t="s">
        <v>97</v>
      </c>
      <c r="C44" s="534" t="s">
        <v>155</v>
      </c>
      <c r="D44" s="533">
        <v>4</v>
      </c>
      <c r="E44" s="532"/>
      <c r="F44" s="532">
        <v>5</v>
      </c>
      <c r="G44" s="532">
        <v>20</v>
      </c>
      <c r="H44" s="532">
        <v>30</v>
      </c>
      <c r="I44" s="532">
        <v>25</v>
      </c>
      <c r="J44" s="531">
        <v>20</v>
      </c>
      <c r="K44" s="531"/>
      <c r="L44" s="531"/>
      <c r="M44" s="531"/>
      <c r="N44" s="531"/>
      <c r="O44" s="531"/>
      <c r="P44" s="531"/>
      <c r="S44" s="6">
        <f t="shared" si="7"/>
        <v>100</v>
      </c>
    </row>
    <row r="45" spans="1:19" x14ac:dyDescent="0.2">
      <c r="A45" s="536" t="str">
        <f t="shared" si="6"/>
        <v>6|5</v>
      </c>
      <c r="B45" s="535" t="s">
        <v>89</v>
      </c>
      <c r="C45" s="534" t="s">
        <v>156</v>
      </c>
      <c r="D45" s="533">
        <v>5</v>
      </c>
      <c r="E45" s="532"/>
      <c r="F45" s="532">
        <v>15</v>
      </c>
      <c r="G45" s="532">
        <v>30</v>
      </c>
      <c r="H45" s="532">
        <v>30</v>
      </c>
      <c r="I45" s="532">
        <v>25</v>
      </c>
      <c r="J45" s="531"/>
      <c r="K45" s="531"/>
      <c r="L45" s="531"/>
      <c r="M45" s="531"/>
      <c r="N45" s="531"/>
      <c r="O45" s="531"/>
      <c r="P45" s="531"/>
      <c r="S45" s="6">
        <f t="shared" si="7"/>
        <v>100</v>
      </c>
    </row>
    <row r="46" spans="1:19" x14ac:dyDescent="0.2">
      <c r="A46" s="536" t="str">
        <f t="shared" si="6"/>
        <v>6|6</v>
      </c>
      <c r="B46" s="535" t="s">
        <v>98</v>
      </c>
      <c r="C46" s="534" t="s">
        <v>160</v>
      </c>
      <c r="D46" s="533">
        <v>3</v>
      </c>
      <c r="E46" s="532"/>
      <c r="F46" s="532">
        <v>5</v>
      </c>
      <c r="G46" s="532">
        <v>10</v>
      </c>
      <c r="H46" s="532">
        <v>30</v>
      </c>
      <c r="I46" s="532">
        <v>30</v>
      </c>
      <c r="J46" s="531">
        <v>25</v>
      </c>
      <c r="K46" s="531"/>
      <c r="L46" s="531"/>
      <c r="M46" s="531"/>
      <c r="N46" s="531"/>
      <c r="O46" s="531"/>
      <c r="P46" s="531"/>
      <c r="S46" s="6">
        <f t="shared" si="7"/>
        <v>100</v>
      </c>
    </row>
    <row r="47" spans="1:19" x14ac:dyDescent="0.2">
      <c r="A47" s="536" t="str">
        <f t="shared" si="6"/>
        <v>6|7</v>
      </c>
      <c r="B47" s="535" t="s">
        <v>153</v>
      </c>
      <c r="C47" s="534" t="s">
        <v>161</v>
      </c>
      <c r="D47" s="533">
        <v>5</v>
      </c>
      <c r="E47" s="532"/>
      <c r="F47" s="532"/>
      <c r="G47" s="532">
        <v>20</v>
      </c>
      <c r="H47" s="532">
        <v>20</v>
      </c>
      <c r="I47" s="532">
        <v>30</v>
      </c>
      <c r="J47" s="531">
        <v>30</v>
      </c>
      <c r="K47" s="531"/>
      <c r="L47" s="531"/>
      <c r="M47" s="531"/>
      <c r="N47" s="531"/>
      <c r="O47" s="531"/>
      <c r="P47" s="531"/>
      <c r="S47" s="6">
        <f t="shared" si="7"/>
        <v>100</v>
      </c>
    </row>
    <row r="48" spans="1:19" x14ac:dyDescent="0.2">
      <c r="A48" s="536" t="str">
        <f t="shared" si="6"/>
        <v>6|8</v>
      </c>
      <c r="B48" s="535" t="s">
        <v>110</v>
      </c>
      <c r="C48" s="534" t="s">
        <v>162</v>
      </c>
      <c r="D48" s="533">
        <v>6</v>
      </c>
      <c r="E48" s="532"/>
      <c r="F48" s="532"/>
      <c r="G48" s="532">
        <v>20</v>
      </c>
      <c r="H48" s="532">
        <v>30</v>
      </c>
      <c r="I48" s="532">
        <v>30</v>
      </c>
      <c r="J48" s="531">
        <v>20</v>
      </c>
      <c r="K48" s="531"/>
      <c r="L48" s="531"/>
      <c r="M48" s="531"/>
      <c r="N48" s="531"/>
      <c r="O48" s="531"/>
      <c r="P48" s="531"/>
      <c r="S48" s="6">
        <f t="shared" si="7"/>
        <v>100</v>
      </c>
    </row>
    <row r="49" spans="1:19" x14ac:dyDescent="0.2">
      <c r="A49" s="536" t="str">
        <f t="shared" si="6"/>
        <v>6|9</v>
      </c>
      <c r="B49" s="535" t="s">
        <v>163</v>
      </c>
      <c r="C49" s="534" t="s">
        <v>164</v>
      </c>
      <c r="D49" s="533">
        <v>6</v>
      </c>
      <c r="E49" s="532">
        <v>5</v>
      </c>
      <c r="F49" s="532">
        <v>15</v>
      </c>
      <c r="G49" s="532">
        <v>25</v>
      </c>
      <c r="H49" s="532">
        <v>25</v>
      </c>
      <c r="I49" s="532">
        <v>20</v>
      </c>
      <c r="J49" s="531">
        <v>10</v>
      </c>
      <c r="K49" s="531"/>
      <c r="L49" s="531"/>
      <c r="M49" s="531"/>
      <c r="N49" s="531"/>
      <c r="O49" s="531"/>
      <c r="P49" s="531"/>
      <c r="S49" s="6">
        <f t="shared" si="7"/>
        <v>100</v>
      </c>
    </row>
    <row r="50" spans="1:19" x14ac:dyDescent="0.2">
      <c r="A50" s="536" t="str">
        <f t="shared" si="6"/>
        <v>6|10</v>
      </c>
      <c r="B50" s="535" t="s">
        <v>165</v>
      </c>
      <c r="C50" s="534" t="s">
        <v>157</v>
      </c>
      <c r="D50" s="533"/>
      <c r="E50" s="532">
        <v>20</v>
      </c>
      <c r="F50" s="532">
        <v>30</v>
      </c>
      <c r="G50" s="532">
        <v>30</v>
      </c>
      <c r="H50" s="532">
        <v>15</v>
      </c>
      <c r="I50" s="532">
        <v>5</v>
      </c>
      <c r="J50" s="531"/>
      <c r="K50" s="531"/>
      <c r="L50" s="531"/>
      <c r="M50" s="531"/>
      <c r="N50" s="531"/>
      <c r="O50" s="531"/>
      <c r="P50" s="531"/>
      <c r="S50" s="6">
        <f t="shared" si="7"/>
        <v>100</v>
      </c>
    </row>
    <row r="51" spans="1:19" x14ac:dyDescent="0.2">
      <c r="A51" s="536" t="str">
        <f t="shared" si="6"/>
        <v>6|11</v>
      </c>
      <c r="B51" s="535" t="s">
        <v>172</v>
      </c>
      <c r="C51" s="534" t="s">
        <v>189</v>
      </c>
      <c r="D51" s="533"/>
      <c r="E51" s="532">
        <v>3</v>
      </c>
      <c r="F51" s="532">
        <v>12</v>
      </c>
      <c r="G51" s="532">
        <v>25</v>
      </c>
      <c r="H51" s="532">
        <v>28</v>
      </c>
      <c r="I51" s="532">
        <v>21</v>
      </c>
      <c r="J51" s="531">
        <v>11</v>
      </c>
      <c r="K51" s="531"/>
      <c r="L51" s="531"/>
      <c r="M51" s="531"/>
      <c r="N51" s="531"/>
      <c r="O51" s="531"/>
      <c r="P51" s="531"/>
      <c r="S51" s="6">
        <f t="shared" si="7"/>
        <v>100</v>
      </c>
    </row>
    <row r="52" spans="1:19" ht="5.45" customHeight="1" x14ac:dyDescent="0.2"/>
    <row r="53" spans="1:19" ht="13.5" thickBot="1" x14ac:dyDescent="0.25">
      <c r="A53" s="545" t="s">
        <v>35</v>
      </c>
      <c r="B53" s="544">
        <v>7</v>
      </c>
      <c r="C53" s="543"/>
      <c r="D53" s="542"/>
      <c r="E53" s="541"/>
      <c r="F53" s="541"/>
      <c r="G53" s="541"/>
      <c r="H53" s="541"/>
      <c r="I53" s="541"/>
      <c r="J53" s="541"/>
      <c r="K53" s="541"/>
      <c r="L53" s="541"/>
      <c r="M53" s="541"/>
      <c r="N53" s="541"/>
      <c r="O53" s="541"/>
      <c r="P53" s="541"/>
    </row>
    <row r="54" spans="1:19" ht="13.5" thickTop="1" x14ac:dyDescent="0.2">
      <c r="A54" s="540" t="str">
        <f t="shared" ref="A54:A64" si="8">CONCATENATE($B$53,"|",B54)</f>
        <v>7|1</v>
      </c>
      <c r="B54" s="539">
        <v>1</v>
      </c>
      <c r="C54" s="534" t="s">
        <v>158</v>
      </c>
      <c r="D54" s="533">
        <v>1</v>
      </c>
      <c r="E54" s="537">
        <v>15</v>
      </c>
      <c r="F54" s="537">
        <v>30</v>
      </c>
      <c r="G54" s="537">
        <v>30</v>
      </c>
      <c r="H54" s="537">
        <v>20</v>
      </c>
      <c r="I54" s="537">
        <v>5</v>
      </c>
      <c r="J54" s="538"/>
      <c r="K54" s="538"/>
      <c r="L54" s="538"/>
      <c r="M54" s="538"/>
      <c r="N54" s="538"/>
      <c r="O54" s="538"/>
      <c r="P54" s="538"/>
      <c r="S54" s="6">
        <f t="shared" ref="S54:S64" si="9">SUM(E54:P54)</f>
        <v>100</v>
      </c>
    </row>
    <row r="55" spans="1:19" x14ac:dyDescent="0.2">
      <c r="A55" s="536" t="str">
        <f t="shared" si="8"/>
        <v>7|2</v>
      </c>
      <c r="B55" s="535" t="s">
        <v>90</v>
      </c>
      <c r="C55" s="534" t="s">
        <v>154</v>
      </c>
      <c r="D55" s="533">
        <v>2</v>
      </c>
      <c r="E55" s="537">
        <v>15</v>
      </c>
      <c r="F55" s="537">
        <v>20</v>
      </c>
      <c r="G55" s="537">
        <v>25</v>
      </c>
      <c r="H55" s="537">
        <v>25</v>
      </c>
      <c r="I55" s="537">
        <v>15</v>
      </c>
      <c r="J55" s="531"/>
      <c r="K55" s="531"/>
      <c r="L55" s="531"/>
      <c r="M55" s="531"/>
      <c r="N55" s="531"/>
      <c r="O55" s="531"/>
      <c r="P55" s="531"/>
      <c r="S55" s="6">
        <f t="shared" si="9"/>
        <v>100</v>
      </c>
    </row>
    <row r="56" spans="1:19" x14ac:dyDescent="0.2">
      <c r="A56" s="536" t="str">
        <f t="shared" si="8"/>
        <v>7|3</v>
      </c>
      <c r="B56" s="535" t="s">
        <v>95</v>
      </c>
      <c r="C56" s="534" t="s">
        <v>159</v>
      </c>
      <c r="D56" s="533">
        <v>3</v>
      </c>
      <c r="E56" s="532">
        <v>5</v>
      </c>
      <c r="F56" s="532">
        <v>15</v>
      </c>
      <c r="G56" s="532">
        <v>20</v>
      </c>
      <c r="H56" s="532">
        <v>25</v>
      </c>
      <c r="I56" s="532">
        <v>20</v>
      </c>
      <c r="J56" s="531">
        <v>15</v>
      </c>
      <c r="K56" s="531"/>
      <c r="L56" s="531"/>
      <c r="M56" s="531"/>
      <c r="N56" s="531"/>
      <c r="O56" s="531"/>
      <c r="P56" s="531"/>
      <c r="S56" s="6">
        <f t="shared" si="9"/>
        <v>100</v>
      </c>
    </row>
    <row r="57" spans="1:19" x14ac:dyDescent="0.2">
      <c r="A57" s="536" t="str">
        <f t="shared" si="8"/>
        <v>7|4</v>
      </c>
      <c r="B57" s="535" t="s">
        <v>97</v>
      </c>
      <c r="C57" s="534" t="s">
        <v>155</v>
      </c>
      <c r="D57" s="533">
        <v>4</v>
      </c>
      <c r="E57" s="532"/>
      <c r="F57" s="532"/>
      <c r="G57" s="532">
        <v>15</v>
      </c>
      <c r="H57" s="532">
        <v>25</v>
      </c>
      <c r="I57" s="532">
        <v>25</v>
      </c>
      <c r="J57" s="531">
        <v>25</v>
      </c>
      <c r="K57" s="531">
        <v>10</v>
      </c>
      <c r="L57" s="531"/>
      <c r="M57" s="531"/>
      <c r="N57" s="531"/>
      <c r="O57" s="531"/>
      <c r="P57" s="531"/>
      <c r="S57" s="6">
        <f t="shared" si="9"/>
        <v>100</v>
      </c>
    </row>
    <row r="58" spans="1:19" x14ac:dyDescent="0.2">
      <c r="A58" s="536" t="str">
        <f t="shared" si="8"/>
        <v>7|5</v>
      </c>
      <c r="B58" s="535" t="s">
        <v>89</v>
      </c>
      <c r="C58" s="534" t="s">
        <v>156</v>
      </c>
      <c r="D58" s="533">
        <v>5</v>
      </c>
      <c r="E58" s="532"/>
      <c r="F58" s="532">
        <v>10</v>
      </c>
      <c r="G58" s="532">
        <v>15</v>
      </c>
      <c r="H58" s="532">
        <v>30</v>
      </c>
      <c r="I58" s="532">
        <v>30</v>
      </c>
      <c r="J58" s="531">
        <v>15</v>
      </c>
      <c r="K58" s="531"/>
      <c r="L58" s="531"/>
      <c r="M58" s="531"/>
      <c r="N58" s="531"/>
      <c r="O58" s="531"/>
      <c r="P58" s="531"/>
      <c r="S58" s="6">
        <f t="shared" si="9"/>
        <v>100</v>
      </c>
    </row>
    <row r="59" spans="1:19" x14ac:dyDescent="0.2">
      <c r="A59" s="536" t="str">
        <f t="shared" si="8"/>
        <v>7|6</v>
      </c>
      <c r="B59" s="535" t="s">
        <v>98</v>
      </c>
      <c r="C59" s="534" t="s">
        <v>160</v>
      </c>
      <c r="D59" s="533">
        <v>3</v>
      </c>
      <c r="E59" s="532"/>
      <c r="F59" s="532">
        <v>5</v>
      </c>
      <c r="G59" s="532">
        <v>10</v>
      </c>
      <c r="H59" s="532">
        <v>25</v>
      </c>
      <c r="I59" s="532">
        <v>25</v>
      </c>
      <c r="J59" s="531">
        <v>20</v>
      </c>
      <c r="K59" s="531">
        <v>15</v>
      </c>
      <c r="L59" s="531"/>
      <c r="M59" s="531"/>
      <c r="N59" s="531"/>
      <c r="O59" s="531"/>
      <c r="P59" s="531"/>
      <c r="S59" s="6">
        <f t="shared" si="9"/>
        <v>100</v>
      </c>
    </row>
    <row r="60" spans="1:19" x14ac:dyDescent="0.2">
      <c r="A60" s="536" t="str">
        <f t="shared" si="8"/>
        <v>7|7</v>
      </c>
      <c r="B60" s="535" t="s">
        <v>153</v>
      </c>
      <c r="C60" s="534" t="s">
        <v>161</v>
      </c>
      <c r="D60" s="533">
        <v>5</v>
      </c>
      <c r="E60" s="532"/>
      <c r="F60" s="532"/>
      <c r="G60" s="532">
        <v>15</v>
      </c>
      <c r="H60" s="532">
        <v>15</v>
      </c>
      <c r="I60" s="532">
        <v>25</v>
      </c>
      <c r="J60" s="532">
        <v>25</v>
      </c>
      <c r="K60" s="531">
        <v>20</v>
      </c>
      <c r="L60" s="531"/>
      <c r="M60" s="531"/>
      <c r="N60" s="531"/>
      <c r="O60" s="531"/>
      <c r="P60" s="531"/>
      <c r="S60" s="6">
        <f t="shared" si="9"/>
        <v>100</v>
      </c>
    </row>
    <row r="61" spans="1:19" x14ac:dyDescent="0.2">
      <c r="A61" s="536" t="str">
        <f t="shared" si="8"/>
        <v>7|8</v>
      </c>
      <c r="B61" s="535" t="s">
        <v>110</v>
      </c>
      <c r="C61" s="534" t="s">
        <v>162</v>
      </c>
      <c r="D61" s="533">
        <v>6</v>
      </c>
      <c r="E61" s="532"/>
      <c r="F61" s="532"/>
      <c r="G61" s="532">
        <v>10</v>
      </c>
      <c r="H61" s="532">
        <v>20</v>
      </c>
      <c r="I61" s="532">
        <v>20</v>
      </c>
      <c r="J61" s="531">
        <v>30</v>
      </c>
      <c r="K61" s="531">
        <v>20</v>
      </c>
      <c r="L61" s="531"/>
      <c r="M61" s="531"/>
      <c r="N61" s="531"/>
      <c r="O61" s="531"/>
      <c r="P61" s="531"/>
      <c r="S61" s="6">
        <f t="shared" si="9"/>
        <v>100</v>
      </c>
    </row>
    <row r="62" spans="1:19" x14ac:dyDescent="0.2">
      <c r="A62" s="536" t="str">
        <f t="shared" si="8"/>
        <v>7|9</v>
      </c>
      <c r="B62" s="535" t="s">
        <v>163</v>
      </c>
      <c r="C62" s="534" t="s">
        <v>164</v>
      </c>
      <c r="D62" s="533">
        <v>6</v>
      </c>
      <c r="E62" s="532">
        <v>5</v>
      </c>
      <c r="F62" s="532">
        <v>10</v>
      </c>
      <c r="G62" s="532">
        <v>20</v>
      </c>
      <c r="H62" s="532">
        <v>20</v>
      </c>
      <c r="I62" s="532">
        <v>20</v>
      </c>
      <c r="J62" s="531">
        <v>15</v>
      </c>
      <c r="K62" s="531">
        <v>10</v>
      </c>
      <c r="L62" s="531"/>
      <c r="M62" s="531"/>
      <c r="N62" s="531"/>
      <c r="O62" s="531"/>
      <c r="P62" s="531"/>
      <c r="S62" s="6">
        <f t="shared" si="9"/>
        <v>100</v>
      </c>
    </row>
    <row r="63" spans="1:19" x14ac:dyDescent="0.2">
      <c r="A63" s="536" t="str">
        <f t="shared" si="8"/>
        <v>7|10</v>
      </c>
      <c r="B63" s="535" t="s">
        <v>165</v>
      </c>
      <c r="C63" s="534" t="s">
        <v>157</v>
      </c>
      <c r="D63" s="533"/>
      <c r="E63" s="532">
        <v>15</v>
      </c>
      <c r="F63" s="532">
        <v>25</v>
      </c>
      <c r="G63" s="532">
        <v>25</v>
      </c>
      <c r="H63" s="532">
        <v>20</v>
      </c>
      <c r="I63" s="532">
        <v>10</v>
      </c>
      <c r="J63" s="531">
        <v>5</v>
      </c>
      <c r="K63" s="531"/>
      <c r="L63" s="531"/>
      <c r="M63" s="531"/>
      <c r="N63" s="531"/>
      <c r="O63" s="531"/>
      <c r="P63" s="531"/>
      <c r="S63" s="6">
        <f t="shared" si="9"/>
        <v>100</v>
      </c>
    </row>
    <row r="64" spans="1:19" x14ac:dyDescent="0.2">
      <c r="A64" s="536" t="str">
        <f t="shared" si="8"/>
        <v>7|11</v>
      </c>
      <c r="B64" s="535" t="s">
        <v>172</v>
      </c>
      <c r="C64" s="534" t="s">
        <v>189</v>
      </c>
      <c r="D64" s="533"/>
      <c r="E64" s="532">
        <v>2</v>
      </c>
      <c r="F64" s="532">
        <v>8</v>
      </c>
      <c r="G64" s="532">
        <v>18</v>
      </c>
      <c r="H64" s="532">
        <v>20</v>
      </c>
      <c r="I64" s="532">
        <v>20</v>
      </c>
      <c r="J64" s="531">
        <v>20</v>
      </c>
      <c r="K64" s="531">
        <v>12</v>
      </c>
      <c r="L64" s="531"/>
      <c r="M64" s="531"/>
      <c r="N64" s="531"/>
      <c r="O64" s="531"/>
      <c r="P64" s="531"/>
      <c r="S64" s="6">
        <f t="shared" si="9"/>
        <v>100</v>
      </c>
    </row>
    <row r="65" spans="1:19" ht="5.45" customHeight="1" x14ac:dyDescent="0.2"/>
    <row r="66" spans="1:19" ht="13.5" thickBot="1" x14ac:dyDescent="0.25">
      <c r="A66" s="545" t="s">
        <v>35</v>
      </c>
      <c r="B66" s="544">
        <v>8</v>
      </c>
      <c r="C66" s="543"/>
      <c r="D66" s="542"/>
      <c r="E66" s="541"/>
      <c r="F66" s="541"/>
      <c r="G66" s="541"/>
      <c r="H66" s="541"/>
      <c r="I66" s="541"/>
      <c r="J66" s="541"/>
      <c r="K66" s="541"/>
      <c r="L66" s="541"/>
      <c r="M66" s="541"/>
      <c r="N66" s="541"/>
      <c r="O66" s="541"/>
      <c r="P66" s="541"/>
    </row>
    <row r="67" spans="1:19" ht="13.5" thickTop="1" x14ac:dyDescent="0.2">
      <c r="A67" s="540" t="str">
        <f t="shared" ref="A67:A77" si="10">CONCATENATE($B$66,"|",B67)</f>
        <v>8|1</v>
      </c>
      <c r="B67" s="539">
        <v>1</v>
      </c>
      <c r="C67" s="534" t="s">
        <v>158</v>
      </c>
      <c r="D67" s="533">
        <v>1</v>
      </c>
      <c r="E67" s="537">
        <v>15</v>
      </c>
      <c r="F67" s="537">
        <v>20</v>
      </c>
      <c r="G67" s="537">
        <v>25</v>
      </c>
      <c r="H67" s="537">
        <v>25</v>
      </c>
      <c r="I67" s="537">
        <v>10</v>
      </c>
      <c r="J67" s="538">
        <v>5</v>
      </c>
      <c r="K67" s="538"/>
      <c r="L67" s="538"/>
      <c r="M67" s="538"/>
      <c r="N67" s="538"/>
      <c r="O67" s="538"/>
      <c r="P67" s="538"/>
      <c r="S67" s="6">
        <f t="shared" ref="S67:S77" si="11">SUM(E67:P67)</f>
        <v>100</v>
      </c>
    </row>
    <row r="68" spans="1:19" x14ac:dyDescent="0.2">
      <c r="A68" s="536" t="str">
        <f t="shared" si="10"/>
        <v>8|2</v>
      </c>
      <c r="B68" s="535" t="s">
        <v>90</v>
      </c>
      <c r="C68" s="534" t="s">
        <v>154</v>
      </c>
      <c r="D68" s="533">
        <v>2</v>
      </c>
      <c r="E68" s="537">
        <v>15</v>
      </c>
      <c r="F68" s="537">
        <v>20</v>
      </c>
      <c r="G68" s="537">
        <v>25</v>
      </c>
      <c r="H68" s="537">
        <v>25</v>
      </c>
      <c r="I68" s="537">
        <v>10</v>
      </c>
      <c r="J68" s="531">
        <v>5</v>
      </c>
      <c r="K68" s="531"/>
      <c r="L68" s="531"/>
      <c r="M68" s="531"/>
      <c r="N68" s="531"/>
      <c r="O68" s="531"/>
      <c r="P68" s="531"/>
      <c r="S68" s="6">
        <f t="shared" si="11"/>
        <v>100</v>
      </c>
    </row>
    <row r="69" spans="1:19" x14ac:dyDescent="0.2">
      <c r="A69" s="536" t="str">
        <f t="shared" si="10"/>
        <v>8|3</v>
      </c>
      <c r="B69" s="535" t="s">
        <v>95</v>
      </c>
      <c r="C69" s="534" t="s">
        <v>159</v>
      </c>
      <c r="D69" s="533">
        <v>3</v>
      </c>
      <c r="E69" s="532">
        <v>5</v>
      </c>
      <c r="F69" s="532">
        <v>10</v>
      </c>
      <c r="G69" s="532">
        <v>15</v>
      </c>
      <c r="H69" s="532">
        <v>20</v>
      </c>
      <c r="I69" s="532">
        <v>20</v>
      </c>
      <c r="J69" s="531">
        <v>20</v>
      </c>
      <c r="K69" s="531">
        <v>10</v>
      </c>
      <c r="L69" s="531"/>
      <c r="M69" s="531"/>
      <c r="N69" s="531"/>
      <c r="O69" s="531"/>
      <c r="P69" s="531"/>
      <c r="S69" s="6">
        <f t="shared" si="11"/>
        <v>100</v>
      </c>
    </row>
    <row r="70" spans="1:19" x14ac:dyDescent="0.2">
      <c r="A70" s="536" t="str">
        <f t="shared" si="10"/>
        <v>8|4</v>
      </c>
      <c r="B70" s="535" t="s">
        <v>97</v>
      </c>
      <c r="C70" s="534" t="s">
        <v>155</v>
      </c>
      <c r="D70" s="533">
        <v>4</v>
      </c>
      <c r="E70" s="532"/>
      <c r="F70" s="532"/>
      <c r="G70" s="532">
        <v>10</v>
      </c>
      <c r="H70" s="532">
        <v>25</v>
      </c>
      <c r="I70" s="532">
        <v>25</v>
      </c>
      <c r="J70" s="531">
        <v>20</v>
      </c>
      <c r="K70" s="531">
        <v>10</v>
      </c>
      <c r="L70" s="531">
        <v>10</v>
      </c>
      <c r="M70" s="531"/>
      <c r="N70" s="531"/>
      <c r="O70" s="531"/>
      <c r="P70" s="531"/>
      <c r="S70" s="6">
        <f t="shared" si="11"/>
        <v>100</v>
      </c>
    </row>
    <row r="71" spans="1:19" x14ac:dyDescent="0.2">
      <c r="A71" s="536" t="str">
        <f t="shared" si="10"/>
        <v>8|5</v>
      </c>
      <c r="B71" s="535" t="s">
        <v>89</v>
      </c>
      <c r="C71" s="534" t="s">
        <v>156</v>
      </c>
      <c r="D71" s="533">
        <v>5</v>
      </c>
      <c r="E71" s="532"/>
      <c r="F71" s="532">
        <v>5</v>
      </c>
      <c r="G71" s="532">
        <v>15</v>
      </c>
      <c r="H71" s="532">
        <v>25</v>
      </c>
      <c r="I71" s="532">
        <v>25</v>
      </c>
      <c r="J71" s="531">
        <v>15</v>
      </c>
      <c r="K71" s="531">
        <v>15</v>
      </c>
      <c r="L71" s="531"/>
      <c r="M71" s="531"/>
      <c r="N71" s="531"/>
      <c r="O71" s="531"/>
      <c r="P71" s="531"/>
      <c r="S71" s="6">
        <f t="shared" si="11"/>
        <v>100</v>
      </c>
    </row>
    <row r="72" spans="1:19" x14ac:dyDescent="0.2">
      <c r="A72" s="536" t="str">
        <f t="shared" si="10"/>
        <v>8|6</v>
      </c>
      <c r="B72" s="535" t="s">
        <v>98</v>
      </c>
      <c r="C72" s="534" t="s">
        <v>160</v>
      </c>
      <c r="D72" s="533">
        <v>3</v>
      </c>
      <c r="E72" s="532"/>
      <c r="F72" s="532"/>
      <c r="G72" s="532">
        <v>5</v>
      </c>
      <c r="H72" s="532">
        <v>20</v>
      </c>
      <c r="I72" s="532">
        <v>20</v>
      </c>
      <c r="J72" s="531">
        <v>25</v>
      </c>
      <c r="K72" s="531">
        <v>20</v>
      </c>
      <c r="L72" s="531">
        <v>10</v>
      </c>
      <c r="M72" s="531"/>
      <c r="N72" s="531"/>
      <c r="O72" s="531"/>
      <c r="P72" s="531"/>
      <c r="S72" s="6">
        <f t="shared" si="11"/>
        <v>100</v>
      </c>
    </row>
    <row r="73" spans="1:19" x14ac:dyDescent="0.2">
      <c r="A73" s="536" t="str">
        <f t="shared" si="10"/>
        <v>8|7</v>
      </c>
      <c r="B73" s="535" t="s">
        <v>153</v>
      </c>
      <c r="C73" s="534" t="s">
        <v>161</v>
      </c>
      <c r="D73" s="533">
        <v>5</v>
      </c>
      <c r="E73" s="532"/>
      <c r="F73" s="532"/>
      <c r="G73" s="532">
        <v>5</v>
      </c>
      <c r="H73" s="532">
        <v>15</v>
      </c>
      <c r="I73" s="532">
        <v>20</v>
      </c>
      <c r="J73" s="532">
        <v>25</v>
      </c>
      <c r="K73" s="532">
        <v>25</v>
      </c>
      <c r="L73" s="532">
        <v>10</v>
      </c>
      <c r="M73" s="531"/>
      <c r="N73" s="531"/>
      <c r="O73" s="531"/>
      <c r="P73" s="531"/>
      <c r="S73" s="6">
        <f t="shared" si="11"/>
        <v>100</v>
      </c>
    </row>
    <row r="74" spans="1:19" x14ac:dyDescent="0.2">
      <c r="A74" s="536" t="str">
        <f t="shared" si="10"/>
        <v>8|8</v>
      </c>
      <c r="B74" s="535" t="s">
        <v>110</v>
      </c>
      <c r="C74" s="534" t="s">
        <v>162</v>
      </c>
      <c r="D74" s="533">
        <v>6</v>
      </c>
      <c r="E74" s="532"/>
      <c r="F74" s="532"/>
      <c r="G74" s="532"/>
      <c r="H74" s="532">
        <v>20</v>
      </c>
      <c r="I74" s="532">
        <v>20</v>
      </c>
      <c r="J74" s="531">
        <v>30</v>
      </c>
      <c r="K74" s="531">
        <v>20</v>
      </c>
      <c r="L74" s="531">
        <v>10</v>
      </c>
      <c r="M74" s="531"/>
      <c r="N74" s="531"/>
      <c r="O74" s="531"/>
      <c r="P74" s="531"/>
      <c r="S74" s="6">
        <f t="shared" si="11"/>
        <v>100</v>
      </c>
    </row>
    <row r="75" spans="1:19" x14ac:dyDescent="0.2">
      <c r="A75" s="536" t="str">
        <f t="shared" si="10"/>
        <v>8|9</v>
      </c>
      <c r="B75" s="535" t="s">
        <v>163</v>
      </c>
      <c r="C75" s="534" t="s">
        <v>164</v>
      </c>
      <c r="D75" s="533">
        <v>6</v>
      </c>
      <c r="E75" s="532">
        <v>5</v>
      </c>
      <c r="F75" s="532">
        <v>5</v>
      </c>
      <c r="G75" s="532">
        <v>10</v>
      </c>
      <c r="H75" s="532">
        <v>15</v>
      </c>
      <c r="I75" s="532">
        <v>20</v>
      </c>
      <c r="J75" s="531">
        <v>20</v>
      </c>
      <c r="K75" s="531">
        <v>15</v>
      </c>
      <c r="L75" s="531">
        <v>10</v>
      </c>
      <c r="M75" s="531"/>
      <c r="N75" s="531"/>
      <c r="O75" s="531"/>
      <c r="P75" s="531"/>
      <c r="S75" s="6">
        <f t="shared" si="11"/>
        <v>100</v>
      </c>
    </row>
    <row r="76" spans="1:19" x14ac:dyDescent="0.2">
      <c r="A76" s="536" t="str">
        <f t="shared" si="10"/>
        <v>8|10</v>
      </c>
      <c r="B76" s="535" t="s">
        <v>165</v>
      </c>
      <c r="C76" s="534" t="s">
        <v>157</v>
      </c>
      <c r="D76" s="533"/>
      <c r="E76" s="532">
        <v>15</v>
      </c>
      <c r="F76" s="532">
        <v>20</v>
      </c>
      <c r="G76" s="532">
        <v>20</v>
      </c>
      <c r="H76" s="532">
        <v>20</v>
      </c>
      <c r="I76" s="532">
        <v>15</v>
      </c>
      <c r="J76" s="531">
        <v>10</v>
      </c>
      <c r="K76" s="531"/>
      <c r="L76" s="531"/>
      <c r="M76" s="531"/>
      <c r="N76" s="531"/>
      <c r="O76" s="531"/>
      <c r="P76" s="531"/>
      <c r="S76" s="6">
        <f t="shared" si="11"/>
        <v>100</v>
      </c>
    </row>
    <row r="77" spans="1:19" x14ac:dyDescent="0.2">
      <c r="A77" s="536" t="str">
        <f t="shared" si="10"/>
        <v>8|11</v>
      </c>
      <c r="B77" s="535" t="s">
        <v>172</v>
      </c>
      <c r="C77" s="534" t="s">
        <v>189</v>
      </c>
      <c r="D77" s="533"/>
      <c r="E77" s="532">
        <v>2</v>
      </c>
      <c r="F77" s="532">
        <v>2</v>
      </c>
      <c r="G77" s="532">
        <v>13</v>
      </c>
      <c r="H77" s="532">
        <v>15</v>
      </c>
      <c r="I77" s="532">
        <v>15</v>
      </c>
      <c r="J77" s="531">
        <v>22</v>
      </c>
      <c r="K77" s="531">
        <v>23</v>
      </c>
      <c r="L77" s="531">
        <v>8</v>
      </c>
      <c r="M77" s="531"/>
      <c r="N77" s="531"/>
      <c r="O77" s="531"/>
      <c r="P77" s="531"/>
      <c r="S77" s="6">
        <f t="shared" si="11"/>
        <v>100</v>
      </c>
    </row>
    <row r="78" spans="1:19" ht="5.45" customHeight="1" x14ac:dyDescent="0.2"/>
    <row r="79" spans="1:19" ht="13.5" thickBot="1" x14ac:dyDescent="0.25">
      <c r="A79" s="545" t="s">
        <v>35</v>
      </c>
      <c r="B79" s="544">
        <v>9</v>
      </c>
      <c r="C79" s="543"/>
      <c r="D79" s="542"/>
      <c r="E79" s="541"/>
      <c r="F79" s="541"/>
      <c r="G79" s="541"/>
      <c r="H79" s="541"/>
      <c r="I79" s="541"/>
      <c r="J79" s="541"/>
      <c r="K79" s="541"/>
      <c r="L79" s="541"/>
      <c r="M79" s="541"/>
      <c r="N79" s="541"/>
      <c r="O79" s="541"/>
      <c r="P79" s="541"/>
    </row>
    <row r="80" spans="1:19" ht="13.5" thickTop="1" x14ac:dyDescent="0.2">
      <c r="A80" s="540" t="str">
        <f t="shared" ref="A80:A90" si="12">CONCATENATE($B$79,"|",B80)</f>
        <v>9|1</v>
      </c>
      <c r="B80" s="539">
        <v>1</v>
      </c>
      <c r="C80" s="534" t="s">
        <v>158</v>
      </c>
      <c r="D80" s="533">
        <v>1</v>
      </c>
      <c r="E80" s="537">
        <v>15</v>
      </c>
      <c r="F80" s="537">
        <v>15</v>
      </c>
      <c r="G80" s="537">
        <v>20</v>
      </c>
      <c r="H80" s="537">
        <v>20</v>
      </c>
      <c r="I80" s="537">
        <v>20</v>
      </c>
      <c r="J80" s="538">
        <v>10</v>
      </c>
      <c r="K80" s="538"/>
      <c r="L80" s="538"/>
      <c r="M80" s="538"/>
      <c r="N80" s="538"/>
      <c r="O80" s="538"/>
      <c r="P80" s="538"/>
      <c r="S80" s="6">
        <f t="shared" ref="S80:S90" si="13">SUM(E80:P80)</f>
        <v>100</v>
      </c>
    </row>
    <row r="81" spans="1:19" x14ac:dyDescent="0.2">
      <c r="A81" s="536" t="str">
        <f t="shared" si="12"/>
        <v>9|2</v>
      </c>
      <c r="B81" s="535" t="s">
        <v>90</v>
      </c>
      <c r="C81" s="534" t="s">
        <v>154</v>
      </c>
      <c r="D81" s="533">
        <v>2</v>
      </c>
      <c r="E81" s="537">
        <v>10</v>
      </c>
      <c r="F81" s="537">
        <v>15</v>
      </c>
      <c r="G81" s="537">
        <v>20</v>
      </c>
      <c r="H81" s="537">
        <v>20</v>
      </c>
      <c r="I81" s="537">
        <v>15</v>
      </c>
      <c r="J81" s="531">
        <v>15</v>
      </c>
      <c r="K81" s="531">
        <v>5</v>
      </c>
      <c r="L81" s="531"/>
      <c r="M81" s="531"/>
      <c r="N81" s="531"/>
      <c r="O81" s="531"/>
      <c r="P81" s="531"/>
      <c r="S81" s="6">
        <f t="shared" si="13"/>
        <v>100</v>
      </c>
    </row>
    <row r="82" spans="1:19" x14ac:dyDescent="0.2">
      <c r="A82" s="536" t="str">
        <f t="shared" si="12"/>
        <v>9|3</v>
      </c>
      <c r="B82" s="535" t="s">
        <v>95</v>
      </c>
      <c r="C82" s="534" t="s">
        <v>159</v>
      </c>
      <c r="D82" s="533">
        <v>3</v>
      </c>
      <c r="E82" s="532">
        <v>5</v>
      </c>
      <c r="F82" s="532">
        <v>10</v>
      </c>
      <c r="G82" s="532">
        <v>15</v>
      </c>
      <c r="H82" s="532">
        <v>20</v>
      </c>
      <c r="I82" s="532">
        <v>20</v>
      </c>
      <c r="J82" s="531">
        <v>10</v>
      </c>
      <c r="K82" s="531">
        <v>10</v>
      </c>
      <c r="L82" s="531">
        <v>10</v>
      </c>
      <c r="M82" s="531"/>
      <c r="N82" s="531"/>
      <c r="O82" s="531"/>
      <c r="P82" s="531"/>
      <c r="S82" s="6">
        <f t="shared" si="13"/>
        <v>100</v>
      </c>
    </row>
    <row r="83" spans="1:19" x14ac:dyDescent="0.2">
      <c r="A83" s="536" t="str">
        <f t="shared" si="12"/>
        <v>9|4</v>
      </c>
      <c r="B83" s="535" t="s">
        <v>97</v>
      </c>
      <c r="C83" s="534" t="s">
        <v>155</v>
      </c>
      <c r="D83" s="533">
        <v>4</v>
      </c>
      <c r="E83" s="532"/>
      <c r="F83" s="532"/>
      <c r="G83" s="532">
        <v>5</v>
      </c>
      <c r="H83" s="532">
        <v>15</v>
      </c>
      <c r="I83" s="532">
        <v>20</v>
      </c>
      <c r="J83" s="531">
        <v>20</v>
      </c>
      <c r="K83" s="531">
        <v>20</v>
      </c>
      <c r="L83" s="531">
        <v>15</v>
      </c>
      <c r="M83" s="531">
        <v>5</v>
      </c>
      <c r="N83" s="531"/>
      <c r="O83" s="531"/>
      <c r="P83" s="531"/>
      <c r="S83" s="6">
        <f t="shared" si="13"/>
        <v>100</v>
      </c>
    </row>
    <row r="84" spans="1:19" x14ac:dyDescent="0.2">
      <c r="A84" s="536" t="str">
        <f t="shared" si="12"/>
        <v>9|5</v>
      </c>
      <c r="B84" s="535" t="s">
        <v>89</v>
      </c>
      <c r="C84" s="534" t="s">
        <v>156</v>
      </c>
      <c r="D84" s="533">
        <v>5</v>
      </c>
      <c r="E84" s="532"/>
      <c r="F84" s="532">
        <v>5</v>
      </c>
      <c r="G84" s="532">
        <v>10</v>
      </c>
      <c r="H84" s="532">
        <v>15</v>
      </c>
      <c r="I84" s="532">
        <v>20</v>
      </c>
      <c r="J84" s="531">
        <v>20</v>
      </c>
      <c r="K84" s="531">
        <v>20</v>
      </c>
      <c r="L84" s="531">
        <v>10</v>
      </c>
      <c r="M84" s="531"/>
      <c r="N84" s="531"/>
      <c r="O84" s="531"/>
      <c r="P84" s="531"/>
      <c r="S84" s="6">
        <f t="shared" si="13"/>
        <v>100</v>
      </c>
    </row>
    <row r="85" spans="1:19" x14ac:dyDescent="0.2">
      <c r="A85" s="536" t="str">
        <f t="shared" si="12"/>
        <v>9|6</v>
      </c>
      <c r="B85" s="535" t="s">
        <v>98</v>
      </c>
      <c r="C85" s="534" t="s">
        <v>160</v>
      </c>
      <c r="D85" s="533">
        <v>3</v>
      </c>
      <c r="E85" s="532"/>
      <c r="F85" s="532"/>
      <c r="G85" s="532">
        <v>5</v>
      </c>
      <c r="H85" s="532">
        <v>10</v>
      </c>
      <c r="I85" s="532">
        <v>20</v>
      </c>
      <c r="J85" s="531">
        <v>20</v>
      </c>
      <c r="K85" s="531">
        <v>20</v>
      </c>
      <c r="L85" s="531">
        <v>15</v>
      </c>
      <c r="M85" s="531">
        <v>10</v>
      </c>
      <c r="N85" s="531"/>
      <c r="O85" s="531"/>
      <c r="P85" s="531"/>
      <c r="S85" s="6">
        <f t="shared" si="13"/>
        <v>100</v>
      </c>
    </row>
    <row r="86" spans="1:19" x14ac:dyDescent="0.2">
      <c r="A86" s="536" t="str">
        <f t="shared" si="12"/>
        <v>9|7</v>
      </c>
      <c r="B86" s="535" t="s">
        <v>153</v>
      </c>
      <c r="C86" s="534" t="s">
        <v>161</v>
      </c>
      <c r="D86" s="533">
        <v>5</v>
      </c>
      <c r="E86" s="532"/>
      <c r="F86" s="532"/>
      <c r="G86" s="532"/>
      <c r="H86" s="532">
        <v>15</v>
      </c>
      <c r="I86" s="532">
        <v>15</v>
      </c>
      <c r="J86" s="531">
        <v>15</v>
      </c>
      <c r="K86" s="531">
        <v>20</v>
      </c>
      <c r="L86" s="531">
        <v>20</v>
      </c>
      <c r="M86" s="531">
        <v>15</v>
      </c>
      <c r="N86" s="531"/>
      <c r="O86" s="531"/>
      <c r="P86" s="531"/>
      <c r="S86" s="6">
        <f t="shared" si="13"/>
        <v>100</v>
      </c>
    </row>
    <row r="87" spans="1:19" x14ac:dyDescent="0.2">
      <c r="A87" s="536" t="str">
        <f t="shared" si="12"/>
        <v>9|8</v>
      </c>
      <c r="B87" s="535" t="s">
        <v>110</v>
      </c>
      <c r="C87" s="534" t="s">
        <v>162</v>
      </c>
      <c r="D87" s="533">
        <v>6</v>
      </c>
      <c r="E87" s="532"/>
      <c r="F87" s="532"/>
      <c r="G87" s="532"/>
      <c r="H87" s="532">
        <v>10</v>
      </c>
      <c r="I87" s="532">
        <v>20</v>
      </c>
      <c r="J87" s="531">
        <v>30</v>
      </c>
      <c r="K87" s="531">
        <v>20</v>
      </c>
      <c r="L87" s="531">
        <v>10</v>
      </c>
      <c r="M87" s="531">
        <v>10</v>
      </c>
      <c r="N87" s="531"/>
      <c r="O87" s="531"/>
      <c r="P87" s="531"/>
      <c r="S87" s="6">
        <f t="shared" si="13"/>
        <v>100</v>
      </c>
    </row>
    <row r="88" spans="1:19" x14ac:dyDescent="0.2">
      <c r="A88" s="536" t="str">
        <f t="shared" si="12"/>
        <v>9|9</v>
      </c>
      <c r="B88" s="535" t="s">
        <v>163</v>
      </c>
      <c r="C88" s="534" t="s">
        <v>164</v>
      </c>
      <c r="D88" s="533">
        <v>6</v>
      </c>
      <c r="E88" s="532">
        <v>5</v>
      </c>
      <c r="F88" s="532">
        <v>5</v>
      </c>
      <c r="G88" s="532">
        <v>10</v>
      </c>
      <c r="H88" s="532">
        <v>15</v>
      </c>
      <c r="I88" s="532">
        <v>20</v>
      </c>
      <c r="J88" s="531">
        <v>15</v>
      </c>
      <c r="K88" s="531">
        <v>15</v>
      </c>
      <c r="L88" s="531">
        <v>15</v>
      </c>
      <c r="M88" s="531"/>
      <c r="N88" s="531"/>
      <c r="O88" s="531"/>
      <c r="P88" s="531"/>
      <c r="S88" s="6">
        <f t="shared" si="13"/>
        <v>100</v>
      </c>
    </row>
    <row r="89" spans="1:19" x14ac:dyDescent="0.2">
      <c r="A89" s="536" t="str">
        <f t="shared" si="12"/>
        <v>9|10</v>
      </c>
      <c r="B89" s="535" t="s">
        <v>165</v>
      </c>
      <c r="C89" s="534" t="s">
        <v>157</v>
      </c>
      <c r="D89" s="533"/>
      <c r="E89" s="532">
        <v>10</v>
      </c>
      <c r="F89" s="532">
        <v>15</v>
      </c>
      <c r="G89" s="532">
        <v>20</v>
      </c>
      <c r="H89" s="532">
        <v>20</v>
      </c>
      <c r="I89" s="532">
        <v>20</v>
      </c>
      <c r="J89" s="531">
        <v>10</v>
      </c>
      <c r="K89" s="531">
        <v>5</v>
      </c>
      <c r="L89" s="531"/>
      <c r="M89" s="531"/>
      <c r="N89" s="531"/>
      <c r="O89" s="531"/>
      <c r="P89" s="531"/>
      <c r="S89" s="6">
        <f t="shared" si="13"/>
        <v>100</v>
      </c>
    </row>
    <row r="90" spans="1:19" x14ac:dyDescent="0.2">
      <c r="A90" s="536" t="str">
        <f t="shared" si="12"/>
        <v>9|11</v>
      </c>
      <c r="B90" s="535" t="s">
        <v>172</v>
      </c>
      <c r="C90" s="534" t="s">
        <v>189</v>
      </c>
      <c r="D90" s="533"/>
      <c r="E90" s="532">
        <v>3</v>
      </c>
      <c r="F90" s="532">
        <v>5</v>
      </c>
      <c r="G90" s="532">
        <v>11</v>
      </c>
      <c r="H90" s="532">
        <v>15</v>
      </c>
      <c r="I90" s="532">
        <v>20</v>
      </c>
      <c r="J90" s="531">
        <v>16</v>
      </c>
      <c r="K90" s="531">
        <v>14</v>
      </c>
      <c r="L90" s="531">
        <v>10</v>
      </c>
      <c r="M90" s="531">
        <v>6</v>
      </c>
      <c r="N90" s="531"/>
      <c r="O90" s="531"/>
      <c r="P90" s="531"/>
      <c r="S90" s="6">
        <f t="shared" si="13"/>
        <v>100</v>
      </c>
    </row>
    <row r="91" spans="1:19" ht="5.45" customHeight="1" x14ac:dyDescent="0.2"/>
    <row r="92" spans="1:19" ht="13.5" thickBot="1" x14ac:dyDescent="0.25">
      <c r="A92" s="545" t="s">
        <v>35</v>
      </c>
      <c r="B92" s="544">
        <v>10</v>
      </c>
      <c r="C92" s="543"/>
      <c r="D92" s="542"/>
      <c r="E92" s="541"/>
      <c r="F92" s="541"/>
      <c r="G92" s="541"/>
      <c r="H92" s="541"/>
      <c r="I92" s="541"/>
      <c r="J92" s="541"/>
      <c r="K92" s="541"/>
      <c r="L92" s="541"/>
      <c r="M92" s="541"/>
      <c r="N92" s="541"/>
      <c r="O92" s="541"/>
      <c r="P92" s="541"/>
    </row>
    <row r="93" spans="1:19" ht="13.5" thickTop="1" x14ac:dyDescent="0.2">
      <c r="A93" s="540" t="str">
        <f t="shared" ref="A93:A103" si="14">CONCATENATE($B$92,"|",B93)</f>
        <v>10|1</v>
      </c>
      <c r="B93" s="539">
        <v>1</v>
      </c>
      <c r="C93" s="534" t="s">
        <v>158</v>
      </c>
      <c r="D93" s="533">
        <v>1</v>
      </c>
      <c r="E93" s="537">
        <v>20</v>
      </c>
      <c r="F93" s="537">
        <v>20</v>
      </c>
      <c r="G93" s="537">
        <v>20</v>
      </c>
      <c r="H93" s="537">
        <v>10</v>
      </c>
      <c r="I93" s="537">
        <v>10</v>
      </c>
      <c r="J93" s="538">
        <v>10</v>
      </c>
      <c r="K93" s="538">
        <v>10</v>
      </c>
      <c r="L93" s="538"/>
      <c r="M93" s="538"/>
      <c r="N93" s="538"/>
      <c r="O93" s="538"/>
      <c r="P93" s="538"/>
      <c r="S93" s="6">
        <f t="shared" ref="S93:S103" si="15">SUM(E93:P93)</f>
        <v>100</v>
      </c>
    </row>
    <row r="94" spans="1:19" x14ac:dyDescent="0.2">
      <c r="A94" s="536" t="str">
        <f t="shared" si="14"/>
        <v>10|2</v>
      </c>
      <c r="B94" s="535" t="s">
        <v>90</v>
      </c>
      <c r="C94" s="534" t="s">
        <v>154</v>
      </c>
      <c r="D94" s="533">
        <v>2</v>
      </c>
      <c r="E94" s="537">
        <v>5</v>
      </c>
      <c r="F94" s="537">
        <v>10</v>
      </c>
      <c r="G94" s="537">
        <v>15</v>
      </c>
      <c r="H94" s="537">
        <v>20</v>
      </c>
      <c r="I94" s="537">
        <v>20</v>
      </c>
      <c r="J94" s="531">
        <v>15</v>
      </c>
      <c r="K94" s="531">
        <v>10</v>
      </c>
      <c r="L94" s="531">
        <v>5</v>
      </c>
      <c r="M94" s="531"/>
      <c r="N94" s="531"/>
      <c r="O94" s="531"/>
      <c r="P94" s="531"/>
      <c r="S94" s="6">
        <f t="shared" si="15"/>
        <v>100</v>
      </c>
    </row>
    <row r="95" spans="1:19" x14ac:dyDescent="0.2">
      <c r="A95" s="536" t="str">
        <f t="shared" si="14"/>
        <v>10|3</v>
      </c>
      <c r="B95" s="535" t="s">
        <v>95</v>
      </c>
      <c r="C95" s="534" t="s">
        <v>159</v>
      </c>
      <c r="D95" s="533">
        <v>3</v>
      </c>
      <c r="E95" s="532"/>
      <c r="F95" s="532">
        <v>5</v>
      </c>
      <c r="G95" s="532">
        <v>10</v>
      </c>
      <c r="H95" s="532">
        <v>15</v>
      </c>
      <c r="I95" s="532">
        <v>15</v>
      </c>
      <c r="J95" s="531">
        <v>15</v>
      </c>
      <c r="K95" s="531">
        <v>15</v>
      </c>
      <c r="L95" s="531">
        <v>15</v>
      </c>
      <c r="M95" s="531">
        <v>10</v>
      </c>
      <c r="N95" s="531"/>
      <c r="O95" s="531"/>
      <c r="P95" s="531"/>
      <c r="S95" s="6">
        <f t="shared" si="15"/>
        <v>100</v>
      </c>
    </row>
    <row r="96" spans="1:19" x14ac:dyDescent="0.2">
      <c r="A96" s="536" t="str">
        <f t="shared" si="14"/>
        <v>10|4</v>
      </c>
      <c r="B96" s="535" t="s">
        <v>97</v>
      </c>
      <c r="C96" s="534" t="s">
        <v>155</v>
      </c>
      <c r="D96" s="533">
        <v>4</v>
      </c>
      <c r="E96" s="532"/>
      <c r="F96" s="532"/>
      <c r="G96" s="532">
        <v>5</v>
      </c>
      <c r="H96" s="532">
        <v>5</v>
      </c>
      <c r="I96" s="532">
        <v>15</v>
      </c>
      <c r="J96" s="531">
        <v>20</v>
      </c>
      <c r="K96" s="531">
        <v>20</v>
      </c>
      <c r="L96" s="531">
        <v>15</v>
      </c>
      <c r="M96" s="531">
        <v>10</v>
      </c>
      <c r="N96" s="531">
        <v>10</v>
      </c>
      <c r="O96" s="531"/>
      <c r="P96" s="531"/>
      <c r="S96" s="6">
        <f t="shared" si="15"/>
        <v>100</v>
      </c>
    </row>
    <row r="97" spans="1:19" x14ac:dyDescent="0.2">
      <c r="A97" s="536" t="str">
        <f t="shared" si="14"/>
        <v>10|5</v>
      </c>
      <c r="B97" s="535" t="s">
        <v>89</v>
      </c>
      <c r="C97" s="534" t="s">
        <v>156</v>
      </c>
      <c r="D97" s="533">
        <v>5</v>
      </c>
      <c r="E97" s="532"/>
      <c r="F97" s="532"/>
      <c r="G97" s="532">
        <v>10</v>
      </c>
      <c r="H97" s="532">
        <v>10</v>
      </c>
      <c r="I97" s="532">
        <v>10</v>
      </c>
      <c r="J97" s="531">
        <v>20</v>
      </c>
      <c r="K97" s="531">
        <v>20</v>
      </c>
      <c r="L97" s="531">
        <v>20</v>
      </c>
      <c r="M97" s="531">
        <v>10</v>
      </c>
      <c r="N97" s="531"/>
      <c r="O97" s="531"/>
      <c r="P97" s="531"/>
      <c r="S97" s="6">
        <f t="shared" si="15"/>
        <v>100</v>
      </c>
    </row>
    <row r="98" spans="1:19" x14ac:dyDescent="0.2">
      <c r="A98" s="536" t="str">
        <f t="shared" si="14"/>
        <v>10|6</v>
      </c>
      <c r="B98" s="535" t="s">
        <v>98</v>
      </c>
      <c r="C98" s="534" t="s">
        <v>160</v>
      </c>
      <c r="D98" s="533">
        <v>3</v>
      </c>
      <c r="E98" s="532"/>
      <c r="F98" s="532"/>
      <c r="G98" s="532"/>
      <c r="H98" s="532">
        <v>5</v>
      </c>
      <c r="I98" s="532">
        <v>10</v>
      </c>
      <c r="J98" s="532">
        <v>15</v>
      </c>
      <c r="K98" s="531">
        <v>20</v>
      </c>
      <c r="L98" s="531">
        <v>20</v>
      </c>
      <c r="M98" s="531">
        <v>15</v>
      </c>
      <c r="N98" s="531">
        <v>15</v>
      </c>
      <c r="O98" s="531"/>
      <c r="P98" s="531"/>
      <c r="S98" s="6">
        <f t="shared" si="15"/>
        <v>100</v>
      </c>
    </row>
    <row r="99" spans="1:19" x14ac:dyDescent="0.2">
      <c r="A99" s="536" t="str">
        <f t="shared" si="14"/>
        <v>10|7</v>
      </c>
      <c r="B99" s="535" t="s">
        <v>153</v>
      </c>
      <c r="C99" s="534" t="s">
        <v>161</v>
      </c>
      <c r="D99" s="533">
        <v>5</v>
      </c>
      <c r="E99" s="532"/>
      <c r="F99" s="532"/>
      <c r="G99" s="532"/>
      <c r="H99" s="532">
        <v>15</v>
      </c>
      <c r="I99" s="532">
        <v>15</v>
      </c>
      <c r="J99" s="531">
        <v>15</v>
      </c>
      <c r="K99" s="531">
        <v>20</v>
      </c>
      <c r="L99" s="531">
        <v>15</v>
      </c>
      <c r="M99" s="531">
        <v>10</v>
      </c>
      <c r="N99" s="531">
        <v>10</v>
      </c>
      <c r="O99" s="531"/>
      <c r="P99" s="531"/>
      <c r="S99" s="6">
        <f t="shared" si="15"/>
        <v>100</v>
      </c>
    </row>
    <row r="100" spans="1:19" x14ac:dyDescent="0.2">
      <c r="A100" s="536" t="str">
        <f t="shared" si="14"/>
        <v>10|8</v>
      </c>
      <c r="B100" s="535" t="s">
        <v>110</v>
      </c>
      <c r="C100" s="534" t="s">
        <v>162</v>
      </c>
      <c r="D100" s="533">
        <v>6</v>
      </c>
      <c r="E100" s="532"/>
      <c r="F100" s="532"/>
      <c r="G100" s="532"/>
      <c r="H100" s="532">
        <v>10</v>
      </c>
      <c r="I100" s="532">
        <v>20</v>
      </c>
      <c r="J100" s="531">
        <v>20</v>
      </c>
      <c r="K100" s="531">
        <v>20</v>
      </c>
      <c r="L100" s="531">
        <v>10</v>
      </c>
      <c r="M100" s="531">
        <v>10</v>
      </c>
      <c r="N100" s="531">
        <v>10</v>
      </c>
      <c r="O100" s="531"/>
      <c r="P100" s="531"/>
      <c r="S100" s="6">
        <f t="shared" si="15"/>
        <v>100</v>
      </c>
    </row>
    <row r="101" spans="1:19" x14ac:dyDescent="0.2">
      <c r="A101" s="536" t="str">
        <f t="shared" si="14"/>
        <v>10|9</v>
      </c>
      <c r="B101" s="535" t="s">
        <v>163</v>
      </c>
      <c r="C101" s="534" t="s">
        <v>164</v>
      </c>
      <c r="D101" s="533">
        <v>6</v>
      </c>
      <c r="E101" s="532">
        <v>5</v>
      </c>
      <c r="F101" s="532">
        <v>5</v>
      </c>
      <c r="G101" s="532">
        <v>10</v>
      </c>
      <c r="H101" s="532">
        <v>10</v>
      </c>
      <c r="I101" s="532">
        <v>10</v>
      </c>
      <c r="J101" s="531">
        <v>15</v>
      </c>
      <c r="K101" s="531">
        <v>15</v>
      </c>
      <c r="L101" s="531">
        <v>10</v>
      </c>
      <c r="M101" s="531">
        <v>10</v>
      </c>
      <c r="N101" s="531">
        <v>10</v>
      </c>
      <c r="O101" s="531"/>
      <c r="P101" s="531"/>
      <c r="S101" s="6">
        <f t="shared" si="15"/>
        <v>100</v>
      </c>
    </row>
    <row r="102" spans="1:19" x14ac:dyDescent="0.2">
      <c r="A102" s="536" t="str">
        <f t="shared" si="14"/>
        <v>10|10</v>
      </c>
      <c r="B102" s="535" t="s">
        <v>165</v>
      </c>
      <c r="C102" s="534" t="s">
        <v>157</v>
      </c>
      <c r="D102" s="533"/>
      <c r="E102" s="532">
        <v>10</v>
      </c>
      <c r="F102" s="532">
        <v>15</v>
      </c>
      <c r="G102" s="532">
        <v>15</v>
      </c>
      <c r="H102" s="532">
        <v>15</v>
      </c>
      <c r="I102" s="532">
        <v>15</v>
      </c>
      <c r="J102" s="531">
        <v>15</v>
      </c>
      <c r="K102" s="531">
        <v>10</v>
      </c>
      <c r="L102" s="531">
        <v>5</v>
      </c>
      <c r="M102" s="531"/>
      <c r="N102" s="531"/>
      <c r="O102" s="531"/>
      <c r="P102" s="531"/>
      <c r="S102" s="6">
        <f t="shared" si="15"/>
        <v>100</v>
      </c>
    </row>
    <row r="103" spans="1:19" x14ac:dyDescent="0.2">
      <c r="A103" s="536" t="str">
        <f t="shared" si="14"/>
        <v>10|11</v>
      </c>
      <c r="B103" s="535" t="s">
        <v>172</v>
      </c>
      <c r="C103" s="534" t="s">
        <v>189</v>
      </c>
      <c r="D103" s="533"/>
      <c r="E103" s="532">
        <v>2</v>
      </c>
      <c r="F103" s="532">
        <v>2</v>
      </c>
      <c r="G103" s="532">
        <v>14</v>
      </c>
      <c r="H103" s="532">
        <v>14</v>
      </c>
      <c r="I103" s="532">
        <v>15</v>
      </c>
      <c r="J103" s="531">
        <v>15</v>
      </c>
      <c r="K103" s="531">
        <v>15</v>
      </c>
      <c r="L103" s="531">
        <v>15</v>
      </c>
      <c r="M103" s="531">
        <v>5</v>
      </c>
      <c r="N103" s="531">
        <v>3</v>
      </c>
      <c r="O103" s="531"/>
      <c r="P103" s="531"/>
      <c r="S103" s="6">
        <f t="shared" si="15"/>
        <v>100</v>
      </c>
    </row>
    <row r="104" spans="1:19" ht="5.45" customHeight="1" x14ac:dyDescent="0.2"/>
    <row r="105" spans="1:19" ht="13.5" thickBot="1" x14ac:dyDescent="0.25">
      <c r="A105" s="545" t="s">
        <v>35</v>
      </c>
      <c r="B105" s="544">
        <v>11</v>
      </c>
      <c r="C105" s="543"/>
      <c r="D105" s="542"/>
      <c r="E105" s="541"/>
      <c r="F105" s="541"/>
      <c r="G105" s="541"/>
      <c r="H105" s="541"/>
      <c r="I105" s="541"/>
      <c r="J105" s="541"/>
      <c r="K105" s="541"/>
      <c r="L105" s="541"/>
      <c r="M105" s="541"/>
      <c r="N105" s="541"/>
      <c r="O105" s="541"/>
      <c r="P105" s="541"/>
    </row>
    <row r="106" spans="1:19" ht="13.5" thickTop="1" x14ac:dyDescent="0.2">
      <c r="A106" s="540" t="str">
        <f t="shared" ref="A106:A116" si="16">CONCATENATE($B$105,"|",B106)</f>
        <v>11|1</v>
      </c>
      <c r="B106" s="539">
        <v>1</v>
      </c>
      <c r="C106" s="534" t="s">
        <v>158</v>
      </c>
      <c r="D106" s="533">
        <v>1</v>
      </c>
      <c r="E106" s="537">
        <v>10</v>
      </c>
      <c r="F106" s="537">
        <v>20</v>
      </c>
      <c r="G106" s="537">
        <v>20</v>
      </c>
      <c r="H106" s="537">
        <v>20</v>
      </c>
      <c r="I106" s="537">
        <v>10</v>
      </c>
      <c r="J106" s="538">
        <v>10</v>
      </c>
      <c r="K106" s="538">
        <v>10</v>
      </c>
      <c r="L106" s="538"/>
      <c r="M106" s="538"/>
      <c r="N106" s="538"/>
      <c r="O106" s="538"/>
      <c r="P106" s="538"/>
      <c r="S106" s="6">
        <f t="shared" ref="S106:S116" si="17">SUM(E106:P106)</f>
        <v>100</v>
      </c>
    </row>
    <row r="107" spans="1:19" x14ac:dyDescent="0.2">
      <c r="A107" s="536" t="str">
        <f t="shared" si="16"/>
        <v>11|2</v>
      </c>
      <c r="B107" s="535" t="s">
        <v>90</v>
      </c>
      <c r="C107" s="534" t="s">
        <v>154</v>
      </c>
      <c r="D107" s="533">
        <v>2</v>
      </c>
      <c r="E107" s="537">
        <v>5</v>
      </c>
      <c r="F107" s="537">
        <v>10</v>
      </c>
      <c r="G107" s="537">
        <v>10</v>
      </c>
      <c r="H107" s="537">
        <v>15</v>
      </c>
      <c r="I107" s="537">
        <v>15</v>
      </c>
      <c r="J107" s="531">
        <v>15</v>
      </c>
      <c r="K107" s="531">
        <v>15</v>
      </c>
      <c r="L107" s="531">
        <v>10</v>
      </c>
      <c r="M107" s="531">
        <v>5</v>
      </c>
      <c r="N107" s="531"/>
      <c r="O107" s="531"/>
      <c r="P107" s="531"/>
      <c r="S107" s="6">
        <f t="shared" si="17"/>
        <v>100</v>
      </c>
    </row>
    <row r="108" spans="1:19" x14ac:dyDescent="0.2">
      <c r="A108" s="536" t="str">
        <f t="shared" si="16"/>
        <v>11|3</v>
      </c>
      <c r="B108" s="535" t="s">
        <v>95</v>
      </c>
      <c r="C108" s="534" t="s">
        <v>159</v>
      </c>
      <c r="D108" s="533">
        <v>3</v>
      </c>
      <c r="E108" s="532"/>
      <c r="F108" s="532">
        <v>5</v>
      </c>
      <c r="G108" s="532">
        <v>10</v>
      </c>
      <c r="H108" s="532">
        <v>10</v>
      </c>
      <c r="I108" s="532">
        <v>15</v>
      </c>
      <c r="J108" s="531">
        <v>15</v>
      </c>
      <c r="K108" s="531">
        <v>15</v>
      </c>
      <c r="L108" s="531">
        <v>10</v>
      </c>
      <c r="M108" s="531">
        <v>10</v>
      </c>
      <c r="N108" s="531">
        <v>10</v>
      </c>
      <c r="O108" s="531"/>
      <c r="P108" s="531"/>
      <c r="S108" s="6">
        <f t="shared" si="17"/>
        <v>100</v>
      </c>
    </row>
    <row r="109" spans="1:19" x14ac:dyDescent="0.2">
      <c r="A109" s="536" t="str">
        <f t="shared" si="16"/>
        <v>11|4</v>
      </c>
      <c r="B109" s="535" t="s">
        <v>97</v>
      </c>
      <c r="C109" s="534" t="s">
        <v>155</v>
      </c>
      <c r="D109" s="533">
        <v>4</v>
      </c>
      <c r="E109" s="532"/>
      <c r="F109" s="532"/>
      <c r="G109" s="532">
        <v>5</v>
      </c>
      <c r="H109" s="532">
        <v>10</v>
      </c>
      <c r="I109" s="532">
        <v>10</v>
      </c>
      <c r="J109" s="531">
        <v>15</v>
      </c>
      <c r="K109" s="531">
        <v>15</v>
      </c>
      <c r="L109" s="531">
        <v>15</v>
      </c>
      <c r="M109" s="531">
        <v>10</v>
      </c>
      <c r="N109" s="531">
        <v>10</v>
      </c>
      <c r="O109" s="531">
        <v>10</v>
      </c>
      <c r="P109" s="531"/>
      <c r="S109" s="6">
        <f t="shared" si="17"/>
        <v>100</v>
      </c>
    </row>
    <row r="110" spans="1:19" x14ac:dyDescent="0.2">
      <c r="A110" s="536" t="str">
        <f t="shared" si="16"/>
        <v>11|5</v>
      </c>
      <c r="B110" s="535" t="s">
        <v>89</v>
      </c>
      <c r="C110" s="534" t="s">
        <v>156</v>
      </c>
      <c r="D110" s="533">
        <v>5</v>
      </c>
      <c r="E110" s="532"/>
      <c r="F110" s="532"/>
      <c r="G110" s="532">
        <v>10</v>
      </c>
      <c r="H110" s="532">
        <v>10</v>
      </c>
      <c r="I110" s="532">
        <v>10</v>
      </c>
      <c r="J110" s="531">
        <v>15</v>
      </c>
      <c r="K110" s="531">
        <v>15</v>
      </c>
      <c r="L110" s="531">
        <v>15</v>
      </c>
      <c r="M110" s="531">
        <v>15</v>
      </c>
      <c r="N110" s="531">
        <v>10</v>
      </c>
      <c r="O110" s="531"/>
      <c r="P110" s="531"/>
      <c r="S110" s="6">
        <f t="shared" si="17"/>
        <v>100</v>
      </c>
    </row>
    <row r="111" spans="1:19" x14ac:dyDescent="0.2">
      <c r="A111" s="536" t="str">
        <f t="shared" si="16"/>
        <v>11|6</v>
      </c>
      <c r="B111" s="535" t="s">
        <v>98</v>
      </c>
      <c r="C111" s="534" t="s">
        <v>160</v>
      </c>
      <c r="D111" s="533">
        <v>3</v>
      </c>
      <c r="E111" s="532"/>
      <c r="F111" s="532"/>
      <c r="G111" s="532"/>
      <c r="H111" s="532">
        <v>5</v>
      </c>
      <c r="I111" s="532">
        <v>10</v>
      </c>
      <c r="J111" s="532">
        <v>15</v>
      </c>
      <c r="K111" s="531">
        <v>15</v>
      </c>
      <c r="L111" s="531">
        <v>15</v>
      </c>
      <c r="M111" s="531">
        <v>15</v>
      </c>
      <c r="N111" s="531">
        <v>15</v>
      </c>
      <c r="O111" s="531">
        <v>10</v>
      </c>
      <c r="P111" s="531"/>
      <c r="S111" s="6">
        <f t="shared" si="17"/>
        <v>100</v>
      </c>
    </row>
    <row r="112" spans="1:19" x14ac:dyDescent="0.2">
      <c r="A112" s="536" t="str">
        <f t="shared" si="16"/>
        <v>11|7</v>
      </c>
      <c r="B112" s="535" t="s">
        <v>153</v>
      </c>
      <c r="C112" s="534" t="s">
        <v>161</v>
      </c>
      <c r="D112" s="533">
        <v>5</v>
      </c>
      <c r="E112" s="532"/>
      <c r="F112" s="532"/>
      <c r="G112" s="532"/>
      <c r="H112" s="532">
        <v>10</v>
      </c>
      <c r="I112" s="532">
        <v>10</v>
      </c>
      <c r="J112" s="531">
        <v>15</v>
      </c>
      <c r="K112" s="531">
        <v>20</v>
      </c>
      <c r="L112" s="531">
        <v>15</v>
      </c>
      <c r="M112" s="531">
        <v>10</v>
      </c>
      <c r="N112" s="531">
        <v>10</v>
      </c>
      <c r="O112" s="531">
        <v>10</v>
      </c>
      <c r="P112" s="531"/>
      <c r="S112" s="6">
        <f t="shared" si="17"/>
        <v>100</v>
      </c>
    </row>
    <row r="113" spans="1:19" x14ac:dyDescent="0.2">
      <c r="A113" s="536" t="str">
        <f t="shared" si="16"/>
        <v>11|8</v>
      </c>
      <c r="B113" s="535" t="s">
        <v>110</v>
      </c>
      <c r="C113" s="534" t="s">
        <v>162</v>
      </c>
      <c r="D113" s="533">
        <v>6</v>
      </c>
      <c r="E113" s="532"/>
      <c r="F113" s="532"/>
      <c r="G113" s="532"/>
      <c r="H113" s="532">
        <v>10</v>
      </c>
      <c r="I113" s="532">
        <v>10</v>
      </c>
      <c r="J113" s="531">
        <v>20</v>
      </c>
      <c r="K113" s="531">
        <v>20</v>
      </c>
      <c r="L113" s="531">
        <v>10</v>
      </c>
      <c r="M113" s="531">
        <v>10</v>
      </c>
      <c r="N113" s="531">
        <v>10</v>
      </c>
      <c r="O113" s="531">
        <v>10</v>
      </c>
      <c r="P113" s="531"/>
      <c r="S113" s="6">
        <f t="shared" si="17"/>
        <v>100</v>
      </c>
    </row>
    <row r="114" spans="1:19" x14ac:dyDescent="0.2">
      <c r="A114" s="536" t="str">
        <f t="shared" si="16"/>
        <v>11|9</v>
      </c>
      <c r="B114" s="535" t="s">
        <v>163</v>
      </c>
      <c r="C114" s="534" t="s">
        <v>164</v>
      </c>
      <c r="D114" s="533">
        <v>6</v>
      </c>
      <c r="E114" s="532">
        <v>5</v>
      </c>
      <c r="F114" s="532">
        <v>5</v>
      </c>
      <c r="G114" s="532">
        <v>10</v>
      </c>
      <c r="H114" s="532">
        <v>10</v>
      </c>
      <c r="I114" s="532">
        <v>10</v>
      </c>
      <c r="J114" s="531">
        <v>10</v>
      </c>
      <c r="K114" s="531">
        <v>10</v>
      </c>
      <c r="L114" s="531">
        <v>10</v>
      </c>
      <c r="M114" s="531">
        <v>10</v>
      </c>
      <c r="N114" s="531">
        <v>10</v>
      </c>
      <c r="O114" s="531">
        <v>10</v>
      </c>
      <c r="P114" s="531"/>
      <c r="S114" s="6">
        <f t="shared" si="17"/>
        <v>100</v>
      </c>
    </row>
    <row r="115" spans="1:19" x14ac:dyDescent="0.2">
      <c r="A115" s="536" t="str">
        <f t="shared" si="16"/>
        <v>11|10</v>
      </c>
      <c r="B115" s="535" t="s">
        <v>165</v>
      </c>
      <c r="C115" s="534" t="s">
        <v>157</v>
      </c>
      <c r="D115" s="533"/>
      <c r="E115" s="532">
        <v>10</v>
      </c>
      <c r="F115" s="532">
        <v>10</v>
      </c>
      <c r="G115" s="532">
        <v>15</v>
      </c>
      <c r="H115" s="532">
        <v>15</v>
      </c>
      <c r="I115" s="532">
        <v>15</v>
      </c>
      <c r="J115" s="531">
        <v>10</v>
      </c>
      <c r="K115" s="531">
        <v>10</v>
      </c>
      <c r="L115" s="531">
        <v>10</v>
      </c>
      <c r="M115" s="531">
        <v>5</v>
      </c>
      <c r="N115" s="531"/>
      <c r="O115" s="531"/>
      <c r="P115" s="531"/>
      <c r="S115" s="6">
        <f t="shared" si="17"/>
        <v>100</v>
      </c>
    </row>
    <row r="116" spans="1:19" x14ac:dyDescent="0.2">
      <c r="A116" s="536" t="str">
        <f t="shared" si="16"/>
        <v>11|11</v>
      </c>
      <c r="B116" s="535" t="s">
        <v>172</v>
      </c>
      <c r="C116" s="534" t="s">
        <v>189</v>
      </c>
      <c r="D116" s="533"/>
      <c r="E116" s="532">
        <v>1</v>
      </c>
      <c r="F116" s="532">
        <v>1</v>
      </c>
      <c r="G116" s="532">
        <v>10</v>
      </c>
      <c r="H116" s="532">
        <v>15</v>
      </c>
      <c r="I116" s="532">
        <v>15</v>
      </c>
      <c r="J116" s="531">
        <v>15</v>
      </c>
      <c r="K116" s="531">
        <v>15</v>
      </c>
      <c r="L116" s="531">
        <v>15</v>
      </c>
      <c r="M116" s="531">
        <v>5</v>
      </c>
      <c r="N116" s="531">
        <v>3</v>
      </c>
      <c r="O116" s="531">
        <v>5</v>
      </c>
      <c r="P116" s="531"/>
      <c r="S116" s="6">
        <f t="shared" si="17"/>
        <v>100</v>
      </c>
    </row>
    <row r="117" spans="1:19" ht="5.45" customHeight="1" x14ac:dyDescent="0.2"/>
    <row r="118" spans="1:19" ht="13.5" thickBot="1" x14ac:dyDescent="0.25">
      <c r="A118" s="545" t="s">
        <v>35</v>
      </c>
      <c r="B118" s="544">
        <v>12</v>
      </c>
      <c r="C118" s="543"/>
      <c r="D118" s="542"/>
      <c r="E118" s="541"/>
      <c r="F118" s="541"/>
      <c r="G118" s="541"/>
      <c r="H118" s="541"/>
      <c r="I118" s="541"/>
      <c r="J118" s="541"/>
      <c r="K118" s="541"/>
      <c r="L118" s="541"/>
      <c r="M118" s="541"/>
      <c r="N118" s="541"/>
      <c r="O118" s="541"/>
      <c r="P118" s="541"/>
    </row>
    <row r="119" spans="1:19" ht="13.5" thickTop="1" x14ac:dyDescent="0.2">
      <c r="A119" s="540" t="str">
        <f t="shared" ref="A119:A129" si="18">CONCATENATE($B$118,"|",B119)</f>
        <v>12|1</v>
      </c>
      <c r="B119" s="539">
        <v>1</v>
      </c>
      <c r="C119" s="534" t="s">
        <v>158</v>
      </c>
      <c r="D119" s="533">
        <v>1</v>
      </c>
      <c r="E119" s="537">
        <v>10</v>
      </c>
      <c r="F119" s="537">
        <v>20</v>
      </c>
      <c r="G119" s="537">
        <v>20</v>
      </c>
      <c r="H119" s="537">
        <v>20</v>
      </c>
      <c r="I119" s="537">
        <v>10</v>
      </c>
      <c r="J119" s="538">
        <v>10</v>
      </c>
      <c r="K119" s="538">
        <v>10</v>
      </c>
      <c r="L119" s="538"/>
      <c r="M119" s="538"/>
      <c r="N119" s="538"/>
      <c r="O119" s="538"/>
      <c r="P119" s="538"/>
      <c r="S119" s="6">
        <f t="shared" ref="S119:S129" si="19">SUM(E119:P119)</f>
        <v>100</v>
      </c>
    </row>
    <row r="120" spans="1:19" x14ac:dyDescent="0.2">
      <c r="A120" s="536" t="str">
        <f t="shared" si="18"/>
        <v>12|2</v>
      </c>
      <c r="B120" s="535" t="s">
        <v>90</v>
      </c>
      <c r="C120" s="534" t="s">
        <v>154</v>
      </c>
      <c r="D120" s="533">
        <v>2</v>
      </c>
      <c r="E120" s="537">
        <v>5</v>
      </c>
      <c r="F120" s="537">
        <v>10</v>
      </c>
      <c r="G120" s="537">
        <v>10</v>
      </c>
      <c r="H120" s="537">
        <v>15</v>
      </c>
      <c r="I120" s="537">
        <v>15</v>
      </c>
      <c r="J120" s="531">
        <v>15</v>
      </c>
      <c r="K120" s="531">
        <v>10</v>
      </c>
      <c r="L120" s="531">
        <v>10</v>
      </c>
      <c r="M120" s="531">
        <v>10</v>
      </c>
      <c r="N120" s="531"/>
      <c r="O120" s="531"/>
      <c r="P120" s="531"/>
      <c r="S120" s="6">
        <f t="shared" si="19"/>
        <v>100</v>
      </c>
    </row>
    <row r="121" spans="1:19" x14ac:dyDescent="0.2">
      <c r="A121" s="536" t="str">
        <f t="shared" si="18"/>
        <v>12|3</v>
      </c>
      <c r="B121" s="535" t="s">
        <v>95</v>
      </c>
      <c r="C121" s="534" t="s">
        <v>159</v>
      </c>
      <c r="D121" s="533">
        <v>3</v>
      </c>
      <c r="E121" s="532"/>
      <c r="F121" s="532">
        <v>5</v>
      </c>
      <c r="G121" s="532">
        <v>10</v>
      </c>
      <c r="H121" s="532">
        <v>10</v>
      </c>
      <c r="I121" s="532">
        <v>10</v>
      </c>
      <c r="J121" s="531">
        <v>15</v>
      </c>
      <c r="K121" s="531">
        <v>15</v>
      </c>
      <c r="L121" s="531">
        <v>10</v>
      </c>
      <c r="M121" s="531">
        <v>10</v>
      </c>
      <c r="N121" s="531">
        <v>10</v>
      </c>
      <c r="O121" s="531">
        <v>5</v>
      </c>
      <c r="P121" s="531"/>
      <c r="S121" s="6">
        <f t="shared" si="19"/>
        <v>100</v>
      </c>
    </row>
    <row r="122" spans="1:19" x14ac:dyDescent="0.2">
      <c r="A122" s="536" t="str">
        <f t="shared" si="18"/>
        <v>12|4</v>
      </c>
      <c r="B122" s="535" t="s">
        <v>97</v>
      </c>
      <c r="C122" s="534" t="s">
        <v>155</v>
      </c>
      <c r="D122" s="533">
        <v>4</v>
      </c>
      <c r="E122" s="532"/>
      <c r="F122" s="532"/>
      <c r="G122" s="532">
        <v>5</v>
      </c>
      <c r="H122" s="532">
        <v>10</v>
      </c>
      <c r="I122" s="532">
        <v>10</v>
      </c>
      <c r="J122" s="531">
        <v>10</v>
      </c>
      <c r="K122" s="531">
        <v>10</v>
      </c>
      <c r="L122" s="531">
        <v>15</v>
      </c>
      <c r="M122" s="531">
        <v>10</v>
      </c>
      <c r="N122" s="531">
        <v>15</v>
      </c>
      <c r="O122" s="531">
        <v>10</v>
      </c>
      <c r="P122" s="531">
        <v>5</v>
      </c>
      <c r="S122" s="6">
        <f t="shared" si="19"/>
        <v>100</v>
      </c>
    </row>
    <row r="123" spans="1:19" x14ac:dyDescent="0.2">
      <c r="A123" s="536" t="str">
        <f t="shared" si="18"/>
        <v>12|5</v>
      </c>
      <c r="B123" s="535" t="s">
        <v>89</v>
      </c>
      <c r="C123" s="534" t="s">
        <v>156</v>
      </c>
      <c r="D123" s="533">
        <v>5</v>
      </c>
      <c r="E123" s="532"/>
      <c r="F123" s="532"/>
      <c r="G123" s="532">
        <v>10</v>
      </c>
      <c r="H123" s="532">
        <v>10</v>
      </c>
      <c r="I123" s="532">
        <v>10</v>
      </c>
      <c r="J123" s="531">
        <v>10</v>
      </c>
      <c r="K123" s="531">
        <v>10</v>
      </c>
      <c r="L123" s="531">
        <v>15</v>
      </c>
      <c r="M123" s="531">
        <v>15</v>
      </c>
      <c r="N123" s="531">
        <v>10</v>
      </c>
      <c r="O123" s="531">
        <v>10</v>
      </c>
      <c r="P123" s="531"/>
      <c r="S123" s="6">
        <f t="shared" si="19"/>
        <v>100</v>
      </c>
    </row>
    <row r="124" spans="1:19" x14ac:dyDescent="0.2">
      <c r="A124" s="536" t="str">
        <f t="shared" si="18"/>
        <v>12|6</v>
      </c>
      <c r="B124" s="535" t="s">
        <v>98</v>
      </c>
      <c r="C124" s="534" t="s">
        <v>160</v>
      </c>
      <c r="D124" s="533">
        <v>3</v>
      </c>
      <c r="E124" s="532"/>
      <c r="F124" s="532"/>
      <c r="G124" s="532"/>
      <c r="H124" s="532">
        <v>5</v>
      </c>
      <c r="I124" s="532">
        <v>10</v>
      </c>
      <c r="J124" s="532">
        <v>10</v>
      </c>
      <c r="K124" s="531">
        <v>10</v>
      </c>
      <c r="L124" s="531">
        <v>15</v>
      </c>
      <c r="M124" s="531">
        <v>15</v>
      </c>
      <c r="N124" s="531">
        <v>15</v>
      </c>
      <c r="O124" s="531">
        <v>10</v>
      </c>
      <c r="P124" s="531">
        <v>10</v>
      </c>
      <c r="S124" s="6">
        <f t="shared" si="19"/>
        <v>100</v>
      </c>
    </row>
    <row r="125" spans="1:19" x14ac:dyDescent="0.2">
      <c r="A125" s="536" t="str">
        <f t="shared" si="18"/>
        <v>12|7</v>
      </c>
      <c r="B125" s="535" t="s">
        <v>153</v>
      </c>
      <c r="C125" s="534" t="s">
        <v>161</v>
      </c>
      <c r="D125" s="533">
        <v>5</v>
      </c>
      <c r="E125" s="532"/>
      <c r="F125" s="532"/>
      <c r="G125" s="532"/>
      <c r="H125" s="532">
        <v>5</v>
      </c>
      <c r="I125" s="532">
        <v>10</v>
      </c>
      <c r="J125" s="531">
        <v>10</v>
      </c>
      <c r="K125" s="531">
        <v>15</v>
      </c>
      <c r="L125" s="531">
        <v>15</v>
      </c>
      <c r="M125" s="531">
        <v>15</v>
      </c>
      <c r="N125" s="531">
        <v>10</v>
      </c>
      <c r="O125" s="531">
        <v>10</v>
      </c>
      <c r="P125" s="531">
        <v>10</v>
      </c>
      <c r="S125" s="6">
        <f t="shared" si="19"/>
        <v>100</v>
      </c>
    </row>
    <row r="126" spans="1:19" x14ac:dyDescent="0.2">
      <c r="A126" s="536" t="str">
        <f t="shared" si="18"/>
        <v>12|8</v>
      </c>
      <c r="B126" s="535" t="s">
        <v>110</v>
      </c>
      <c r="C126" s="534" t="s">
        <v>162</v>
      </c>
      <c r="D126" s="533">
        <v>6</v>
      </c>
      <c r="E126" s="532"/>
      <c r="F126" s="532"/>
      <c r="G126" s="532"/>
      <c r="H126" s="532">
        <v>10</v>
      </c>
      <c r="I126" s="532">
        <v>10</v>
      </c>
      <c r="J126" s="531">
        <v>10</v>
      </c>
      <c r="K126" s="531">
        <v>20</v>
      </c>
      <c r="L126" s="531">
        <v>10</v>
      </c>
      <c r="M126" s="531">
        <v>10</v>
      </c>
      <c r="N126" s="531">
        <v>10</v>
      </c>
      <c r="O126" s="531">
        <v>10</v>
      </c>
      <c r="P126" s="531">
        <v>10</v>
      </c>
      <c r="S126" s="6">
        <f t="shared" si="19"/>
        <v>100</v>
      </c>
    </row>
    <row r="127" spans="1:19" x14ac:dyDescent="0.2">
      <c r="A127" s="536" t="str">
        <f t="shared" si="18"/>
        <v>12|9</v>
      </c>
      <c r="B127" s="535" t="s">
        <v>163</v>
      </c>
      <c r="C127" s="534" t="s">
        <v>164</v>
      </c>
      <c r="D127" s="533">
        <v>6</v>
      </c>
      <c r="E127" s="532">
        <v>5</v>
      </c>
      <c r="F127" s="532">
        <v>5</v>
      </c>
      <c r="G127" s="532">
        <v>5</v>
      </c>
      <c r="H127" s="532">
        <v>5</v>
      </c>
      <c r="I127" s="532">
        <v>10</v>
      </c>
      <c r="J127" s="531">
        <v>10</v>
      </c>
      <c r="K127" s="531">
        <v>10</v>
      </c>
      <c r="L127" s="531">
        <v>10</v>
      </c>
      <c r="M127" s="531">
        <v>10</v>
      </c>
      <c r="N127" s="531">
        <v>10</v>
      </c>
      <c r="O127" s="531">
        <v>10</v>
      </c>
      <c r="P127" s="531">
        <v>10</v>
      </c>
      <c r="S127" s="6">
        <f t="shared" si="19"/>
        <v>100</v>
      </c>
    </row>
    <row r="128" spans="1:19" x14ac:dyDescent="0.2">
      <c r="A128" s="536" t="str">
        <f t="shared" si="18"/>
        <v>12|10</v>
      </c>
      <c r="B128" s="535" t="s">
        <v>165</v>
      </c>
      <c r="C128" s="534" t="s">
        <v>157</v>
      </c>
      <c r="D128" s="533"/>
      <c r="E128" s="532">
        <v>10</v>
      </c>
      <c r="F128" s="532">
        <v>15</v>
      </c>
      <c r="G128" s="532">
        <v>10</v>
      </c>
      <c r="H128" s="532">
        <v>10</v>
      </c>
      <c r="I128" s="532">
        <v>10</v>
      </c>
      <c r="J128" s="531">
        <v>10</v>
      </c>
      <c r="K128" s="531">
        <v>10</v>
      </c>
      <c r="L128" s="531">
        <v>10</v>
      </c>
      <c r="M128" s="531">
        <v>10</v>
      </c>
      <c r="N128" s="531">
        <v>5</v>
      </c>
      <c r="O128" s="531"/>
      <c r="P128" s="531"/>
      <c r="S128" s="6">
        <f t="shared" si="19"/>
        <v>100</v>
      </c>
    </row>
    <row r="129" spans="1:19" x14ac:dyDescent="0.2">
      <c r="A129" s="536" t="str">
        <f t="shared" si="18"/>
        <v>12|11</v>
      </c>
      <c r="B129" s="535" t="s">
        <v>172</v>
      </c>
      <c r="C129" s="534" t="s">
        <v>189</v>
      </c>
      <c r="D129" s="533"/>
      <c r="E129" s="532">
        <v>1</v>
      </c>
      <c r="F129" s="532">
        <v>1</v>
      </c>
      <c r="G129" s="532">
        <v>10</v>
      </c>
      <c r="H129" s="532">
        <v>10</v>
      </c>
      <c r="I129" s="532">
        <v>15</v>
      </c>
      <c r="J129" s="531">
        <v>15</v>
      </c>
      <c r="K129" s="531">
        <v>15</v>
      </c>
      <c r="L129" s="531">
        <v>15</v>
      </c>
      <c r="M129" s="531">
        <v>5</v>
      </c>
      <c r="N129" s="531">
        <v>3</v>
      </c>
      <c r="O129" s="531">
        <v>5</v>
      </c>
      <c r="P129" s="531">
        <v>5</v>
      </c>
      <c r="S129" s="6">
        <f t="shared" si="19"/>
        <v>100</v>
      </c>
    </row>
    <row r="131" spans="1:19" x14ac:dyDescent="0.2">
      <c r="S131" s="6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E174-D57B-408B-A470-F875B829C23A}">
  <sheetPr codeName="Planilha3"/>
  <dimension ref="A1:K23"/>
  <sheetViews>
    <sheetView view="pageBreakPreview" zoomScaleNormal="100" zoomScaleSheetLayoutView="100" workbookViewId="0">
      <selection activeCell="I27" sqref="I27"/>
    </sheetView>
  </sheetViews>
  <sheetFormatPr defaultColWidth="9.33203125" defaultRowHeight="15" x14ac:dyDescent="0.25"/>
  <cols>
    <col min="1" max="1" width="9.33203125" style="49"/>
    <col min="2" max="2" width="24.1640625" style="49" customWidth="1"/>
    <col min="3" max="4" width="31.1640625" style="49" customWidth="1"/>
    <col min="5" max="10" width="9.33203125" style="49"/>
    <col min="11" max="11" width="12" style="49" customWidth="1"/>
    <col min="12" max="16384" width="9.33203125" style="49"/>
  </cols>
  <sheetData>
    <row r="1" spans="1:11" x14ac:dyDescent="0.25">
      <c r="A1" s="46" t="s">
        <v>222</v>
      </c>
      <c r="B1" s="47" t="s">
        <v>223</v>
      </c>
      <c r="C1" s="47"/>
      <c r="D1" s="47"/>
      <c r="E1" s="47"/>
      <c r="F1" s="47"/>
      <c r="G1" s="47"/>
      <c r="H1" s="47"/>
      <c r="I1" s="47"/>
      <c r="J1" s="47"/>
      <c r="K1" s="48"/>
    </row>
    <row r="2" spans="1:11" ht="21" x14ac:dyDescent="0.35">
      <c r="A2" s="50"/>
      <c r="B2" s="51" t="s">
        <v>224</v>
      </c>
      <c r="C2" s="51"/>
      <c r="D2" s="51"/>
      <c r="E2" s="52"/>
      <c r="F2" s="52"/>
      <c r="G2" s="52"/>
      <c r="H2" s="52"/>
      <c r="I2" s="52"/>
      <c r="J2" s="52"/>
      <c r="K2" s="53"/>
    </row>
    <row r="3" spans="1:11" ht="13.9" customHeight="1" x14ac:dyDescent="0.25">
      <c r="A3" s="50"/>
      <c r="B3" s="54" t="s">
        <v>225</v>
      </c>
      <c r="C3" s="55" t="s">
        <v>226</v>
      </c>
      <c r="D3" s="56"/>
      <c r="E3" s="52"/>
      <c r="F3" s="52"/>
      <c r="G3" s="52"/>
      <c r="H3" s="52"/>
      <c r="I3" s="52"/>
      <c r="J3" s="52"/>
      <c r="K3" s="53"/>
    </row>
    <row r="4" spans="1:11" ht="13.9" customHeight="1" x14ac:dyDescent="0.25">
      <c r="A4" s="50"/>
      <c r="B4" s="57" t="s">
        <v>227</v>
      </c>
      <c r="C4" s="58" t="s">
        <v>228</v>
      </c>
      <c r="D4" s="58" t="s">
        <v>229</v>
      </c>
      <c r="E4" s="52"/>
      <c r="F4" s="52"/>
      <c r="G4" s="52"/>
      <c r="H4" s="52"/>
      <c r="I4" s="52"/>
      <c r="J4" s="52"/>
      <c r="K4" s="53"/>
    </row>
    <row r="5" spans="1:11" ht="13.15" customHeight="1" x14ac:dyDescent="0.25">
      <c r="A5" s="50"/>
      <c r="B5" s="58" t="s">
        <v>230</v>
      </c>
      <c r="C5" s="58" t="s">
        <v>231</v>
      </c>
      <c r="D5" s="58" t="s">
        <v>232</v>
      </c>
      <c r="E5" s="52"/>
      <c r="F5" s="52"/>
      <c r="G5" s="52"/>
      <c r="H5" s="52"/>
      <c r="I5" s="52"/>
      <c r="J5" s="52"/>
      <c r="K5" s="53"/>
    </row>
    <row r="6" spans="1:11" ht="13.15" customHeight="1" x14ac:dyDescent="0.25">
      <c r="A6" s="50"/>
      <c r="B6" s="58" t="s">
        <v>233</v>
      </c>
      <c r="C6" s="58" t="s">
        <v>232</v>
      </c>
      <c r="D6" s="58" t="s">
        <v>234</v>
      </c>
      <c r="E6" s="52"/>
      <c r="F6" s="52"/>
      <c r="G6" s="52"/>
      <c r="H6" s="52"/>
      <c r="I6" s="52"/>
      <c r="J6" s="52"/>
      <c r="K6" s="53"/>
    </row>
    <row r="7" spans="1:11" ht="13.15" customHeight="1" x14ac:dyDescent="0.25">
      <c r="A7" s="50"/>
      <c r="B7" s="58" t="s">
        <v>235</v>
      </c>
      <c r="C7" s="58" t="s">
        <v>234</v>
      </c>
      <c r="D7" s="58" t="s">
        <v>236</v>
      </c>
      <c r="E7" s="59" t="s">
        <v>237</v>
      </c>
      <c r="F7" s="60" t="s">
        <v>238</v>
      </c>
      <c r="G7" s="52"/>
      <c r="H7" s="52"/>
      <c r="I7" s="52"/>
      <c r="J7" s="52"/>
      <c r="K7" s="53"/>
    </row>
    <row r="8" spans="1:11" ht="13.15" customHeight="1" x14ac:dyDescent="0.25">
      <c r="A8" s="50"/>
      <c r="B8" s="58" t="s">
        <v>239</v>
      </c>
      <c r="C8" s="58" t="s">
        <v>236</v>
      </c>
      <c r="D8" s="58" t="s">
        <v>240</v>
      </c>
      <c r="E8" s="52"/>
      <c r="F8" s="52"/>
      <c r="G8" s="52"/>
      <c r="H8" s="52"/>
      <c r="I8" s="52"/>
      <c r="J8" s="52"/>
      <c r="K8" s="53"/>
    </row>
    <row r="9" spans="1:11" ht="13.15" customHeight="1" x14ac:dyDescent="0.25">
      <c r="A9" s="50"/>
      <c r="B9" s="58" t="s">
        <v>241</v>
      </c>
      <c r="C9" s="58" t="s">
        <v>240</v>
      </c>
      <c r="D9" s="58" t="s">
        <v>242</v>
      </c>
      <c r="E9" s="52"/>
      <c r="F9" s="52"/>
      <c r="G9" s="52"/>
      <c r="H9" s="52"/>
      <c r="I9" s="52"/>
      <c r="J9" s="52"/>
      <c r="K9" s="53"/>
    </row>
    <row r="10" spans="1:11" ht="13.15" customHeight="1" x14ac:dyDescent="0.25">
      <c r="A10" s="50"/>
      <c r="B10" s="58" t="s">
        <v>243</v>
      </c>
      <c r="C10" s="58" t="s">
        <v>242</v>
      </c>
      <c r="D10" s="58" t="s">
        <v>244</v>
      </c>
      <c r="E10" s="52"/>
      <c r="F10" s="52"/>
      <c r="G10" s="52"/>
      <c r="H10" s="52"/>
      <c r="I10" s="52"/>
      <c r="J10" s="52"/>
      <c r="K10" s="53"/>
    </row>
    <row r="11" spans="1:11" ht="13.15" customHeight="1" x14ac:dyDescent="0.25">
      <c r="A11" s="50"/>
      <c r="B11" s="58" t="s">
        <v>245</v>
      </c>
      <c r="C11" s="58" t="s">
        <v>244</v>
      </c>
      <c r="D11" s="58" t="s">
        <v>246</v>
      </c>
      <c r="E11" s="52"/>
      <c r="F11" s="52"/>
      <c r="G11" s="52"/>
      <c r="H11" s="52"/>
      <c r="I11" s="52"/>
      <c r="J11" s="52"/>
      <c r="K11" s="53"/>
    </row>
    <row r="12" spans="1:11" ht="9" customHeight="1" x14ac:dyDescent="0.25">
      <c r="A12" s="50"/>
      <c r="B12" s="61"/>
      <c r="C12" s="61"/>
      <c r="D12" s="61"/>
      <c r="E12" s="52"/>
      <c r="F12" s="52"/>
      <c r="G12" s="52"/>
      <c r="H12" s="52"/>
      <c r="I12" s="52"/>
      <c r="J12" s="52"/>
      <c r="K12" s="53"/>
    </row>
    <row r="13" spans="1:11" ht="13.15" customHeight="1" x14ac:dyDescent="0.25">
      <c r="A13" s="62">
        <v>2</v>
      </c>
      <c r="B13" s="61" t="s">
        <v>247</v>
      </c>
      <c r="C13" s="61"/>
      <c r="D13" s="61"/>
      <c r="E13" s="51"/>
      <c r="F13" s="51"/>
      <c r="G13" s="51"/>
      <c r="H13" s="51"/>
      <c r="I13" s="51"/>
      <c r="J13" s="51"/>
      <c r="K13" s="53"/>
    </row>
    <row r="14" spans="1:11" ht="13.15" customHeight="1" x14ac:dyDescent="0.25">
      <c r="A14" s="50"/>
      <c r="B14" s="61" t="s">
        <v>248</v>
      </c>
      <c r="C14" s="61"/>
      <c r="D14" s="61"/>
      <c r="E14" s="52"/>
      <c r="F14" s="52"/>
      <c r="G14" s="52"/>
      <c r="H14" s="52"/>
      <c r="I14" s="52"/>
      <c r="J14" s="52"/>
      <c r="K14" s="53"/>
    </row>
    <row r="15" spans="1:11" ht="13.15" customHeight="1" x14ac:dyDescent="0.25">
      <c r="A15" s="50"/>
      <c r="B15" s="54" t="s">
        <v>225</v>
      </c>
      <c r="C15" s="55" t="s">
        <v>226</v>
      </c>
      <c r="D15" s="56"/>
      <c r="E15" s="52"/>
      <c r="F15" s="52"/>
      <c r="G15" s="52"/>
      <c r="H15" s="52"/>
      <c r="I15" s="52"/>
      <c r="J15" s="52"/>
      <c r="K15" s="53"/>
    </row>
    <row r="16" spans="1:11" ht="13.15" customHeight="1" x14ac:dyDescent="0.25">
      <c r="A16" s="50"/>
      <c r="B16" s="57" t="s">
        <v>227</v>
      </c>
      <c r="C16" s="58" t="s">
        <v>228</v>
      </c>
      <c r="D16" s="58" t="s">
        <v>229</v>
      </c>
      <c r="E16" s="52"/>
      <c r="F16" s="52"/>
      <c r="G16" s="52"/>
      <c r="H16" s="52"/>
      <c r="I16" s="52"/>
      <c r="J16" s="52"/>
      <c r="K16" s="53"/>
    </row>
    <row r="17" spans="1:11" ht="13.15" customHeight="1" x14ac:dyDescent="0.25">
      <c r="A17" s="50"/>
      <c r="B17" s="58" t="s">
        <v>230</v>
      </c>
      <c r="C17" s="58" t="s">
        <v>231</v>
      </c>
      <c r="D17" s="58" t="s">
        <v>249</v>
      </c>
      <c r="E17" s="52"/>
      <c r="F17" s="52"/>
      <c r="G17" s="52"/>
      <c r="H17" s="52"/>
      <c r="I17" s="52"/>
      <c r="J17" s="52"/>
      <c r="K17" s="53"/>
    </row>
    <row r="18" spans="1:11" ht="13.15" customHeight="1" x14ac:dyDescent="0.25">
      <c r="A18" s="50"/>
      <c r="B18" s="58" t="s">
        <v>233</v>
      </c>
      <c r="C18" s="58" t="s">
        <v>249</v>
      </c>
      <c r="D18" s="58" t="s">
        <v>250</v>
      </c>
      <c r="E18" s="59" t="s">
        <v>237</v>
      </c>
      <c r="F18" s="60" t="s">
        <v>251</v>
      </c>
      <c r="G18" s="52"/>
      <c r="H18" s="52"/>
      <c r="I18" s="52"/>
      <c r="J18" s="52"/>
      <c r="K18" s="53"/>
    </row>
    <row r="19" spans="1:11" ht="13.15" customHeight="1" x14ac:dyDescent="0.25">
      <c r="A19" s="50"/>
      <c r="B19" s="58" t="s">
        <v>235</v>
      </c>
      <c r="C19" s="58" t="s">
        <v>250</v>
      </c>
      <c r="D19" s="58" t="s">
        <v>252</v>
      </c>
      <c r="E19" s="52"/>
      <c r="F19" s="52"/>
      <c r="G19" s="52"/>
      <c r="H19" s="52"/>
      <c r="I19" s="52"/>
      <c r="J19" s="52"/>
      <c r="K19" s="53"/>
    </row>
    <row r="20" spans="1:11" ht="13.15" customHeight="1" x14ac:dyDescent="0.25">
      <c r="A20" s="50"/>
      <c r="B20" s="58" t="s">
        <v>239</v>
      </c>
      <c r="C20" s="58" t="s">
        <v>252</v>
      </c>
      <c r="D20" s="58" t="s">
        <v>246</v>
      </c>
      <c r="E20" s="52"/>
      <c r="F20" s="52"/>
      <c r="G20" s="52"/>
      <c r="H20" s="52"/>
      <c r="I20" s="52"/>
      <c r="J20" s="52"/>
      <c r="K20" s="53"/>
    </row>
    <row r="21" spans="1:11" ht="13.15" customHeight="1" x14ac:dyDescent="0.25">
      <c r="A21" s="50"/>
      <c r="B21" s="58" t="s">
        <v>241</v>
      </c>
      <c r="C21" s="58" t="s">
        <v>246</v>
      </c>
      <c r="D21" s="58" t="s">
        <v>253</v>
      </c>
      <c r="E21" s="52"/>
      <c r="F21" s="52"/>
      <c r="G21" s="52"/>
      <c r="H21" s="52"/>
      <c r="I21" s="52"/>
      <c r="J21" s="52"/>
      <c r="K21" s="53"/>
    </row>
    <row r="22" spans="1:11" ht="13.15" customHeight="1" x14ac:dyDescent="0.25">
      <c r="A22" s="50"/>
      <c r="B22" s="58" t="s">
        <v>243</v>
      </c>
      <c r="C22" s="58" t="s">
        <v>253</v>
      </c>
      <c r="D22" s="58" t="s">
        <v>254</v>
      </c>
      <c r="E22" s="52"/>
      <c r="F22" s="52"/>
      <c r="G22" s="52"/>
      <c r="H22" s="52"/>
      <c r="I22" s="52"/>
      <c r="J22" s="52"/>
      <c r="K22" s="53"/>
    </row>
    <row r="23" spans="1:11" ht="13.15" customHeight="1" thickBot="1" x14ac:dyDescent="0.3">
      <c r="A23" s="63"/>
      <c r="B23" s="64" t="s">
        <v>245</v>
      </c>
      <c r="C23" s="64" t="s">
        <v>254</v>
      </c>
      <c r="D23" s="64" t="s">
        <v>255</v>
      </c>
      <c r="E23" s="65"/>
      <c r="F23" s="65"/>
      <c r="G23" s="65"/>
      <c r="H23" s="65"/>
      <c r="I23" s="65"/>
      <c r="J23" s="65"/>
      <c r="K23" s="66"/>
    </row>
  </sheetData>
  <pageMargins left="0.511811024" right="0.511811024" top="0.78740157499999996" bottom="0.78740157499999996" header="0.31496062000000002" footer="0.31496062000000002"/>
  <pageSetup paperSize="9" scale="80" orientation="portrait" horizontalDpi="4294967295" verticalDpi="4294967295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26DBF-1CA9-4F90-AC65-99F18B2C4D06}">
  <dimension ref="A1:AZ63"/>
  <sheetViews>
    <sheetView workbookViewId="0">
      <selection activeCell="I27" sqref="I27"/>
    </sheetView>
  </sheetViews>
  <sheetFormatPr defaultRowHeight="11.25" x14ac:dyDescent="0.2"/>
  <cols>
    <col min="1" max="1" width="22" customWidth="1"/>
    <col min="2" max="2" width="49" bestFit="1" customWidth="1"/>
    <col min="3" max="3" width="9.5" style="377" customWidth="1"/>
    <col min="4" max="8" width="10.5" hidden="1" customWidth="1"/>
    <col min="9" max="9" width="10.5" customWidth="1"/>
    <col min="10" max="10" width="13.83203125" customWidth="1"/>
    <col min="11" max="11" width="3.83203125" customWidth="1"/>
    <col min="12" max="12" width="11.1640625" hidden="1" customWidth="1"/>
    <col min="13" max="13" width="14" hidden="1" customWidth="1"/>
    <col min="14" max="14" width="11.1640625" hidden="1" customWidth="1"/>
    <col min="15" max="15" width="14" hidden="1" customWidth="1"/>
    <col min="16" max="16" width="11.1640625" hidden="1" customWidth="1"/>
    <col min="17" max="17" width="14" hidden="1" customWidth="1"/>
    <col min="18" max="19" width="10.5" customWidth="1"/>
    <col min="20" max="20" width="2.1640625" customWidth="1"/>
    <col min="21" max="21" width="18.33203125" customWidth="1"/>
    <col min="22" max="22" width="14.5" hidden="1" customWidth="1"/>
    <col min="23" max="23" width="9.6640625" style="377" hidden="1" customWidth="1"/>
    <col min="24" max="26" width="18.33203125" hidden="1" customWidth="1"/>
    <col min="27" max="32" width="19.33203125" style="361" hidden="1" customWidth="1"/>
    <col min="33" max="34" width="9.1640625" style="361" hidden="1" customWidth="1"/>
    <col min="35" max="35" width="9.33203125" style="361" hidden="1" customWidth="1"/>
    <col min="36" max="37" width="9.33203125" hidden="1" customWidth="1"/>
    <col min="38" max="38" width="12.6640625" hidden="1" customWidth="1"/>
    <col min="39" max="39" width="9.33203125" style="369" hidden="1" customWidth="1"/>
    <col min="40" max="40" width="49.1640625" style="368" hidden="1" customWidth="1"/>
    <col min="41" max="41" width="9.33203125" style="369" hidden="1" customWidth="1"/>
    <col min="42" max="43" width="9.33203125" style="368" hidden="1" customWidth="1"/>
    <col min="44" max="44" width="9.1640625" style="368" hidden="1" customWidth="1"/>
    <col min="45" max="46" width="9.33203125" hidden="1" customWidth="1"/>
    <col min="47" max="47" width="12.33203125" style="361" hidden="1" customWidth="1"/>
    <col min="48" max="48" width="11.6640625" customWidth="1"/>
    <col min="49" max="50" width="9.33203125" hidden="1" customWidth="1"/>
    <col min="51" max="53" width="9.33203125" customWidth="1"/>
  </cols>
  <sheetData>
    <row r="1" spans="1:52" x14ac:dyDescent="0.2">
      <c r="U1" s="45"/>
      <c r="AA1"/>
      <c r="AB1"/>
      <c r="AC1"/>
      <c r="AD1"/>
      <c r="AE1"/>
      <c r="AF1"/>
      <c r="AJ1" s="361"/>
    </row>
    <row r="2" spans="1:52" x14ac:dyDescent="0.2">
      <c r="U2" s="45"/>
      <c r="AA2"/>
      <c r="AB2"/>
      <c r="AC2"/>
      <c r="AD2"/>
      <c r="AE2"/>
      <c r="AF2"/>
      <c r="AJ2" s="361"/>
    </row>
    <row r="3" spans="1:52" ht="15" x14ac:dyDescent="0.2">
      <c r="A3" s="363" t="s">
        <v>378</v>
      </c>
      <c r="U3" s="45"/>
      <c r="AA3"/>
      <c r="AB3"/>
      <c r="AC3"/>
      <c r="AD3"/>
      <c r="AE3"/>
      <c r="AF3"/>
      <c r="AJ3" s="361"/>
    </row>
    <row r="4" spans="1:52" ht="15" x14ac:dyDescent="0.2">
      <c r="A4" s="363"/>
      <c r="U4" s="45"/>
      <c r="AA4"/>
      <c r="AB4"/>
      <c r="AC4"/>
      <c r="AD4"/>
      <c r="AE4"/>
      <c r="AF4"/>
      <c r="AJ4" s="361"/>
    </row>
    <row r="5" spans="1:52" x14ac:dyDescent="0.2">
      <c r="U5" s="370"/>
      <c r="AA5"/>
      <c r="AB5"/>
      <c r="AC5"/>
      <c r="AD5"/>
      <c r="AE5"/>
      <c r="AF5"/>
      <c r="AJ5" s="361"/>
    </row>
    <row r="6" spans="1:52" ht="15" x14ac:dyDescent="0.2">
      <c r="A6" s="363"/>
      <c r="U6" s="378" t="s">
        <v>383</v>
      </c>
      <c r="V6" s="378" t="s">
        <v>384</v>
      </c>
      <c r="X6" s="371" t="s">
        <v>385</v>
      </c>
      <c r="Y6" s="371" t="s">
        <v>385</v>
      </c>
      <c r="AA6"/>
      <c r="AB6"/>
      <c r="AC6"/>
      <c r="AD6"/>
      <c r="AE6"/>
      <c r="AF6"/>
      <c r="AJ6" s="361"/>
    </row>
    <row r="7" spans="1:52" x14ac:dyDescent="0.2">
      <c r="U7" s="379" t="s">
        <v>386</v>
      </c>
      <c r="V7" s="380" t="s">
        <v>387</v>
      </c>
      <c r="X7" s="371" t="s">
        <v>388</v>
      </c>
      <c r="Y7" s="371" t="s">
        <v>388</v>
      </c>
      <c r="AA7"/>
      <c r="AB7"/>
      <c r="AC7"/>
      <c r="AD7"/>
      <c r="AE7"/>
      <c r="AF7"/>
      <c r="AJ7" s="361"/>
      <c r="AY7" t="s">
        <v>476</v>
      </c>
      <c r="AZ7" t="s">
        <v>479</v>
      </c>
    </row>
    <row r="8" spans="1:52" ht="12.75" x14ac:dyDescent="0.2">
      <c r="A8" s="629" t="s">
        <v>389</v>
      </c>
      <c r="B8" s="630"/>
      <c r="U8" s="381" t="s">
        <v>390</v>
      </c>
      <c r="V8" s="382" t="s">
        <v>391</v>
      </c>
      <c r="AA8"/>
      <c r="AB8"/>
      <c r="AC8"/>
      <c r="AD8"/>
      <c r="AE8"/>
      <c r="AF8"/>
      <c r="AJ8" s="361"/>
      <c r="AU8" s="593" t="s">
        <v>480</v>
      </c>
      <c r="AY8" s="404">
        <v>5.91E-2</v>
      </c>
      <c r="AZ8" s="404">
        <v>6.4000000000000001E-2</v>
      </c>
    </row>
    <row r="9" spans="1:52" ht="12" thickBot="1" x14ac:dyDescent="0.25">
      <c r="B9" s="364"/>
      <c r="AA9"/>
      <c r="AB9"/>
      <c r="AC9"/>
      <c r="AD9"/>
      <c r="AE9"/>
      <c r="AF9"/>
      <c r="AJ9" s="361"/>
      <c r="AU9" s="593" t="s">
        <v>481</v>
      </c>
      <c r="AY9" s="594">
        <v>0.1027</v>
      </c>
      <c r="AZ9" s="594">
        <v>0.105</v>
      </c>
    </row>
    <row r="10" spans="1:52" ht="58.5" customHeight="1" thickBot="1" x14ac:dyDescent="0.4">
      <c r="A10" s="595"/>
      <c r="B10" s="596" t="s">
        <v>482</v>
      </c>
      <c r="C10" s="597"/>
      <c r="D10" s="598"/>
      <c r="E10" s="598"/>
      <c r="F10" s="598"/>
      <c r="G10" s="598"/>
      <c r="H10" s="598"/>
      <c r="I10" s="598"/>
      <c r="J10" s="599"/>
      <c r="L10" s="383" t="s">
        <v>446</v>
      </c>
      <c r="M10" s="384"/>
      <c r="N10" s="383" t="s">
        <v>447</v>
      </c>
      <c r="O10" s="384"/>
      <c r="P10" s="383" t="s">
        <v>448</v>
      </c>
      <c r="Q10" s="384"/>
      <c r="R10" s="385" t="s">
        <v>483</v>
      </c>
      <c r="S10" s="386"/>
      <c r="T10" s="291"/>
      <c r="U10" s="387" t="s">
        <v>392</v>
      </c>
      <c r="AA10"/>
      <c r="AB10" t="s">
        <v>392</v>
      </c>
      <c r="AC10" t="s">
        <v>392</v>
      </c>
      <c r="AD10" t="s">
        <v>392</v>
      </c>
      <c r="AE10" t="s">
        <v>392</v>
      </c>
      <c r="AF10" t="s">
        <v>392</v>
      </c>
      <c r="AJ10" s="361"/>
      <c r="AY10" s="600">
        <f>(1+AY8)*(1+AY9)-1</f>
        <v>0.16786956999999991</v>
      </c>
      <c r="AZ10" s="600">
        <f>(1+AZ8)*(1+AZ9)-1</f>
        <v>0.1757200000000001</v>
      </c>
    </row>
    <row r="11" spans="1:52" ht="60" x14ac:dyDescent="0.2">
      <c r="A11" s="601" t="s">
        <v>393</v>
      </c>
      <c r="B11" s="602" t="s">
        <v>394</v>
      </c>
      <c r="C11" s="603" t="s">
        <v>395</v>
      </c>
      <c r="D11" s="604" t="s">
        <v>484</v>
      </c>
      <c r="E11" s="605" t="s">
        <v>485</v>
      </c>
      <c r="F11" s="605" t="s">
        <v>486</v>
      </c>
      <c r="G11" s="605" t="s">
        <v>487</v>
      </c>
      <c r="H11" s="605" t="s">
        <v>488</v>
      </c>
      <c r="I11" s="605" t="s">
        <v>489</v>
      </c>
      <c r="J11" s="606" t="s">
        <v>490</v>
      </c>
      <c r="L11" s="388" t="s">
        <v>396</v>
      </c>
      <c r="M11" s="388" t="s">
        <v>397</v>
      </c>
      <c r="N11" s="388" t="s">
        <v>396</v>
      </c>
      <c r="O11" s="388" t="s">
        <v>397</v>
      </c>
      <c r="P11" s="388" t="s">
        <v>396</v>
      </c>
      <c r="Q11" s="388" t="s">
        <v>397</v>
      </c>
      <c r="R11" s="388" t="s">
        <v>491</v>
      </c>
      <c r="S11" s="388" t="s">
        <v>492</v>
      </c>
      <c r="U11" s="389" t="s">
        <v>493</v>
      </c>
      <c r="X11" s="607" t="s">
        <v>494</v>
      </c>
      <c r="Y11" s="607" t="s">
        <v>399</v>
      </c>
      <c r="Z11" s="608" t="s">
        <v>398</v>
      </c>
      <c r="AA11" s="608" t="s">
        <v>449</v>
      </c>
      <c r="AB11" s="608" t="s">
        <v>450</v>
      </c>
      <c r="AC11" s="608" t="s">
        <v>495</v>
      </c>
      <c r="AD11" s="608" t="s">
        <v>496</v>
      </c>
      <c r="AE11" s="608" t="s">
        <v>497</v>
      </c>
      <c r="AF11" s="607" t="s">
        <v>493</v>
      </c>
      <c r="AG11" s="609" t="s">
        <v>451</v>
      </c>
      <c r="AH11" s="391"/>
      <c r="AI11" s="390" t="s">
        <v>452</v>
      </c>
      <c r="AJ11" s="391"/>
      <c r="AN11" s="368" t="s">
        <v>453</v>
      </c>
      <c r="AU11" s="388" t="s">
        <v>498</v>
      </c>
      <c r="AV11" s="388" t="s">
        <v>499</v>
      </c>
      <c r="AW11" s="361" t="s">
        <v>500</v>
      </c>
      <c r="AX11" s="361" t="s">
        <v>501</v>
      </c>
    </row>
    <row r="12" spans="1:52" ht="12.75" x14ac:dyDescent="0.2">
      <c r="A12" s="392">
        <v>589100</v>
      </c>
      <c r="B12" s="393" t="s">
        <v>400</v>
      </c>
      <c r="C12" s="610" t="s">
        <v>401</v>
      </c>
      <c r="D12" s="611">
        <v>3514.38</v>
      </c>
      <c r="E12" s="394">
        <v>4464.1099999999997</v>
      </c>
      <c r="F12" s="394">
        <v>5706.75</v>
      </c>
      <c r="G12" s="394" t="s">
        <v>502</v>
      </c>
      <c r="H12" s="394">
        <v>5022.5</v>
      </c>
      <c r="I12" s="394">
        <v>7777.8</v>
      </c>
      <c r="J12" s="612">
        <v>7415.78</v>
      </c>
      <c r="L12" s="395"/>
      <c r="M12" s="395">
        <f>ROUND(L12/(1-0%),2)</f>
        <v>0</v>
      </c>
      <c r="N12" s="396"/>
      <c r="O12" s="396">
        <f>ROUND(N12/(1-0%),2)</f>
        <v>0</v>
      </c>
      <c r="P12" s="397"/>
      <c r="Q12" s="397">
        <f t="shared" ref="Q12:Q19" si="0">ROUND(P12/(1-21.65%),2)</f>
        <v>0</v>
      </c>
      <c r="R12" s="613">
        <v>6629</v>
      </c>
      <c r="S12" s="402">
        <v>7052</v>
      </c>
      <c r="T12" s="398"/>
      <c r="U12" s="415">
        <f>R12</f>
        <v>6629</v>
      </c>
      <c r="V12" s="398">
        <f t="shared" ref="V12:V26" si="1">IF(J12=0,"",U12/J12)</f>
        <v>0.89390461960845657</v>
      </c>
      <c r="W12" s="398" t="s">
        <v>386</v>
      </c>
      <c r="X12" s="399">
        <f>H12</f>
        <v>5022.5</v>
      </c>
      <c r="Y12" s="399">
        <v>6100.3</v>
      </c>
      <c r="Z12" s="399">
        <v>5774.08</v>
      </c>
      <c r="AA12" s="399">
        <v>6024.25</v>
      </c>
      <c r="AB12" s="399">
        <v>6642.53</v>
      </c>
      <c r="AC12" s="399">
        <v>7777.8</v>
      </c>
      <c r="AD12" s="399">
        <v>7404.92</v>
      </c>
      <c r="AE12" s="399">
        <v>7415.78</v>
      </c>
      <c r="AF12" s="614">
        <v>6629</v>
      </c>
      <c r="AG12" s="400"/>
      <c r="AH12" s="401"/>
      <c r="AI12" s="402"/>
      <c r="AJ12" s="402"/>
      <c r="AK12" s="403"/>
      <c r="AL12" s="404"/>
      <c r="AU12" s="361">
        <v>7415.78</v>
      </c>
      <c r="AV12" s="364">
        <f>AU12*(1-$AZ$10)</f>
        <v>6112.6791383999989</v>
      </c>
      <c r="AW12" s="615">
        <v>6629</v>
      </c>
      <c r="AX12" s="616">
        <v>7052</v>
      </c>
    </row>
    <row r="13" spans="1:52" ht="25.5" x14ac:dyDescent="0.2">
      <c r="A13" s="392"/>
      <c r="B13" s="393" t="s">
        <v>454</v>
      </c>
      <c r="C13" s="610" t="s">
        <v>401</v>
      </c>
      <c r="D13" s="611"/>
      <c r="E13" s="394"/>
      <c r="F13" s="394"/>
      <c r="G13" s="394"/>
      <c r="H13" s="394"/>
      <c r="I13" s="394"/>
      <c r="J13" s="612"/>
      <c r="L13" s="405"/>
      <c r="M13" s="405"/>
      <c r="N13" s="405"/>
      <c r="O13" s="405"/>
      <c r="P13" s="397"/>
      <c r="Q13" s="397">
        <f t="shared" si="0"/>
        <v>0</v>
      </c>
      <c r="R13" s="362"/>
      <c r="S13" s="402"/>
      <c r="T13" s="398"/>
      <c r="U13" s="415"/>
      <c r="V13" s="398" t="str">
        <f t="shared" si="1"/>
        <v/>
      </c>
      <c r="W13" s="398" t="s">
        <v>390</v>
      </c>
      <c r="X13" s="399"/>
      <c r="Y13" s="399"/>
      <c r="Z13" s="399"/>
      <c r="AA13" s="399"/>
      <c r="AB13" s="399">
        <v>4715.28</v>
      </c>
      <c r="AC13" s="399">
        <v>5524.24</v>
      </c>
      <c r="AD13" s="399">
        <v>5524.24</v>
      </c>
      <c r="AE13" s="399"/>
      <c r="AF13" s="399"/>
      <c r="AG13" s="402"/>
      <c r="AH13" s="406"/>
      <c r="AI13" s="406"/>
      <c r="AJ13" s="406"/>
      <c r="AK13" s="403"/>
      <c r="AL13" s="404"/>
      <c r="AM13" s="375">
        <v>517</v>
      </c>
      <c r="AN13" s="373" t="s">
        <v>423</v>
      </c>
      <c r="AO13" s="375" t="s">
        <v>424</v>
      </c>
      <c r="AP13" s="374" t="s">
        <v>425</v>
      </c>
      <c r="AQ13" s="374" t="s">
        <v>426</v>
      </c>
      <c r="AW13" s="361"/>
      <c r="AX13" s="616"/>
    </row>
    <row r="14" spans="1:52" ht="33.75" x14ac:dyDescent="0.2">
      <c r="A14" s="392">
        <v>589050</v>
      </c>
      <c r="B14" s="393" t="s">
        <v>402</v>
      </c>
      <c r="C14" s="610" t="s">
        <v>401</v>
      </c>
      <c r="D14" s="611">
        <v>2660.93</v>
      </c>
      <c r="E14" s="394">
        <v>3344.17</v>
      </c>
      <c r="F14" s="394">
        <v>3762.84</v>
      </c>
      <c r="G14" s="394" t="s">
        <v>503</v>
      </c>
      <c r="H14" s="394">
        <v>3788.14</v>
      </c>
      <c r="I14" s="394">
        <v>6004</v>
      </c>
      <c r="J14" s="612">
        <v>5892.67</v>
      </c>
      <c r="L14" s="405"/>
      <c r="M14" s="405"/>
      <c r="N14" s="396"/>
      <c r="O14" s="396">
        <f>ROUND(N14/(1-0%),2)</f>
        <v>0</v>
      </c>
      <c r="P14" s="397"/>
      <c r="Q14" s="397">
        <f t="shared" si="0"/>
        <v>0</v>
      </c>
      <c r="R14" s="613">
        <v>5662</v>
      </c>
      <c r="S14" s="402">
        <v>6915</v>
      </c>
      <c r="T14" s="398"/>
      <c r="U14" s="415">
        <f>R14</f>
        <v>5662</v>
      </c>
      <c r="V14" s="398">
        <f t="shared" si="1"/>
        <v>0.96085475684197486</v>
      </c>
      <c r="W14" s="398" t="s">
        <v>386</v>
      </c>
      <c r="X14" s="399">
        <f t="shared" ref="X14:X31" si="2">H14</f>
        <v>3788.14</v>
      </c>
      <c r="Y14" s="399">
        <v>5316</v>
      </c>
      <c r="Z14" s="399">
        <v>4986.3100000000004</v>
      </c>
      <c r="AA14" s="399">
        <v>5367.12</v>
      </c>
      <c r="AB14" s="399">
        <v>5880.51</v>
      </c>
      <c r="AC14" s="399">
        <v>6004</v>
      </c>
      <c r="AD14" s="399">
        <v>6277.45</v>
      </c>
      <c r="AE14" s="399">
        <v>5892.67</v>
      </c>
      <c r="AF14" s="399">
        <v>5662</v>
      </c>
      <c r="AG14" s="402"/>
      <c r="AH14" s="402"/>
      <c r="AI14" s="362"/>
      <c r="AJ14" s="401"/>
      <c r="AK14" s="403"/>
      <c r="AL14" s="404"/>
      <c r="AM14" s="375">
        <v>41904</v>
      </c>
      <c r="AN14" s="373" t="s">
        <v>427</v>
      </c>
      <c r="AO14" s="375" t="s">
        <v>428</v>
      </c>
      <c r="AP14" s="374" t="s">
        <v>429</v>
      </c>
      <c r="AQ14" s="374" t="s">
        <v>430</v>
      </c>
      <c r="AU14" s="361">
        <v>5892.67</v>
      </c>
      <c r="AV14" s="364">
        <f t="shared" ref="AV14:AV22" si="3">AU14*(1-$AY$10)</f>
        <v>4903.4700209481007</v>
      </c>
      <c r="AW14" s="615">
        <v>5662</v>
      </c>
      <c r="AX14" s="616">
        <v>6915</v>
      </c>
    </row>
    <row r="15" spans="1:52" ht="33.75" x14ac:dyDescent="0.2">
      <c r="A15" s="392">
        <v>589070</v>
      </c>
      <c r="B15" s="393" t="s">
        <v>403</v>
      </c>
      <c r="C15" s="610" t="s">
        <v>401</v>
      </c>
      <c r="D15" s="611"/>
      <c r="E15" s="394"/>
      <c r="F15" s="394"/>
      <c r="G15" s="394" t="s">
        <v>504</v>
      </c>
      <c r="H15" s="394">
        <v>4130.03</v>
      </c>
      <c r="I15" s="394">
        <v>6309</v>
      </c>
      <c r="J15" s="612">
        <v>6142.33</v>
      </c>
      <c r="L15" s="405"/>
      <c r="M15" s="405"/>
      <c r="N15" s="405"/>
      <c r="O15" s="405"/>
      <c r="P15" s="397"/>
      <c r="Q15" s="397">
        <f t="shared" si="0"/>
        <v>0</v>
      </c>
      <c r="R15" s="613">
        <v>5447</v>
      </c>
      <c r="S15" s="402">
        <v>5535</v>
      </c>
      <c r="T15" s="398"/>
      <c r="U15" s="415">
        <f>R15</f>
        <v>5447</v>
      </c>
      <c r="V15" s="398">
        <f t="shared" si="1"/>
        <v>0.88679702979162633</v>
      </c>
      <c r="W15" s="398" t="s">
        <v>390</v>
      </c>
      <c r="X15" s="399">
        <f t="shared" si="2"/>
        <v>4130.03</v>
      </c>
      <c r="Y15" s="399"/>
      <c r="Z15" s="399">
        <v>4453.4399999999996</v>
      </c>
      <c r="AA15" s="399">
        <v>5106.25</v>
      </c>
      <c r="AB15" s="399">
        <v>6043.93</v>
      </c>
      <c r="AC15" s="399">
        <v>6309</v>
      </c>
      <c r="AD15" s="399">
        <v>6227.89</v>
      </c>
      <c r="AE15" s="399">
        <v>6142.33</v>
      </c>
      <c r="AF15" s="399">
        <v>5447</v>
      </c>
      <c r="AG15" s="402"/>
      <c r="AH15" s="402"/>
      <c r="AI15" s="362"/>
      <c r="AJ15" s="401"/>
      <c r="AK15" s="403"/>
      <c r="AL15" s="404"/>
      <c r="AM15" s="375">
        <v>41903</v>
      </c>
      <c r="AN15" s="373" t="s">
        <v>431</v>
      </c>
      <c r="AO15" s="375" t="s">
        <v>432</v>
      </c>
      <c r="AP15" s="374" t="s">
        <v>429</v>
      </c>
      <c r="AQ15" s="374" t="s">
        <v>433</v>
      </c>
      <c r="AU15" s="361">
        <v>6142.33</v>
      </c>
      <c r="AV15" s="364">
        <f t="shared" si="3"/>
        <v>5111.2197041019008</v>
      </c>
      <c r="AW15" s="615">
        <v>5447</v>
      </c>
      <c r="AX15" s="616">
        <v>5535</v>
      </c>
    </row>
    <row r="16" spans="1:52" ht="33.75" x14ac:dyDescent="0.2">
      <c r="A16" s="392">
        <v>589000</v>
      </c>
      <c r="B16" s="393" t="s">
        <v>404</v>
      </c>
      <c r="C16" s="610" t="s">
        <v>401</v>
      </c>
      <c r="D16" s="611">
        <v>2349.52</v>
      </c>
      <c r="E16" s="394">
        <v>2956.34</v>
      </c>
      <c r="F16" s="394">
        <v>3474.98</v>
      </c>
      <c r="G16" s="394" t="s">
        <v>505</v>
      </c>
      <c r="H16" s="394">
        <v>3340.63</v>
      </c>
      <c r="I16" s="394">
        <v>6287.6</v>
      </c>
      <c r="J16" s="612">
        <v>5970.35</v>
      </c>
      <c r="L16" s="395"/>
      <c r="M16" s="395">
        <f>ROUND(L16/(1-0%),2)</f>
        <v>0</v>
      </c>
      <c r="N16" s="396"/>
      <c r="O16" s="396">
        <f>ROUND(N16/(1-0%),2)</f>
        <v>0</v>
      </c>
      <c r="P16" s="397"/>
      <c r="Q16" s="397">
        <f t="shared" si="0"/>
        <v>0</v>
      </c>
      <c r="R16" s="362">
        <v>6006</v>
      </c>
      <c r="S16" s="613">
        <v>5725</v>
      </c>
      <c r="T16" s="398"/>
      <c r="U16" s="415">
        <f>S16</f>
        <v>5725</v>
      </c>
      <c r="V16" s="398">
        <f t="shared" si="1"/>
        <v>0.95890525681073968</v>
      </c>
      <c r="W16" s="398" t="s">
        <v>386</v>
      </c>
      <c r="X16" s="399">
        <f t="shared" si="2"/>
        <v>3340.63</v>
      </c>
      <c r="Y16" s="399">
        <v>4708.6000000000004</v>
      </c>
      <c r="Z16" s="399">
        <v>4434.49</v>
      </c>
      <c r="AA16" s="399">
        <v>4718.0200000000004</v>
      </c>
      <c r="AB16" s="399">
        <v>5118.8900000000003</v>
      </c>
      <c r="AC16" s="399">
        <v>6287.6</v>
      </c>
      <c r="AD16" s="399">
        <v>5479.8</v>
      </c>
      <c r="AE16" s="399">
        <v>5970.35</v>
      </c>
      <c r="AF16" s="399">
        <v>5725</v>
      </c>
      <c r="AG16" s="402"/>
      <c r="AH16" s="402"/>
      <c r="AI16" s="362"/>
      <c r="AJ16" s="401"/>
      <c r="AK16" s="403"/>
      <c r="AL16" s="404"/>
      <c r="AM16" s="375">
        <v>37534</v>
      </c>
      <c r="AN16" s="373" t="s">
        <v>434</v>
      </c>
      <c r="AO16" s="375" t="s">
        <v>432</v>
      </c>
      <c r="AP16" s="374" t="s">
        <v>435</v>
      </c>
      <c r="AQ16" s="374" t="s">
        <v>436</v>
      </c>
      <c r="AU16" s="361">
        <v>5970.35</v>
      </c>
      <c r="AV16" s="364">
        <f t="shared" si="3"/>
        <v>4968.1099127505004</v>
      </c>
      <c r="AW16" s="361">
        <v>6006</v>
      </c>
      <c r="AX16" s="615">
        <v>5725</v>
      </c>
    </row>
    <row r="17" spans="1:50" ht="33.75" x14ac:dyDescent="0.2">
      <c r="A17" s="392">
        <v>589030</v>
      </c>
      <c r="B17" s="393" t="s">
        <v>455</v>
      </c>
      <c r="C17" s="610" t="s">
        <v>401</v>
      </c>
      <c r="D17" s="611">
        <v>3370.61</v>
      </c>
      <c r="E17" s="394">
        <v>3839.39</v>
      </c>
      <c r="F17" s="394">
        <v>4183.88</v>
      </c>
      <c r="G17" s="394" t="s">
        <v>506</v>
      </c>
      <c r="H17" s="394">
        <v>3932.27</v>
      </c>
      <c r="I17" s="394">
        <v>7237.2</v>
      </c>
      <c r="J17" s="612">
        <v>7226.46</v>
      </c>
      <c r="L17" s="405"/>
      <c r="M17" s="405"/>
      <c r="N17" s="396"/>
      <c r="O17" s="396">
        <f>ROUND(N17/(1-0%),2)</f>
        <v>0</v>
      </c>
      <c r="P17" s="397"/>
      <c r="Q17" s="397">
        <f t="shared" si="0"/>
        <v>0</v>
      </c>
      <c r="R17" s="362">
        <v>7439</v>
      </c>
      <c r="S17" s="613">
        <v>6795</v>
      </c>
      <c r="T17" s="398"/>
      <c r="U17" s="415">
        <f t="shared" ref="U17:U31" si="4">S17</f>
        <v>6795</v>
      </c>
      <c r="V17" s="398">
        <f t="shared" si="1"/>
        <v>0.94029441801379932</v>
      </c>
      <c r="W17" s="398" t="s">
        <v>390</v>
      </c>
      <c r="X17" s="399">
        <f t="shared" si="2"/>
        <v>3932.27</v>
      </c>
      <c r="Y17" s="399"/>
      <c r="Z17" s="399">
        <v>3898.29</v>
      </c>
      <c r="AA17" s="399">
        <v>5841.48</v>
      </c>
      <c r="AB17" s="399">
        <v>6343.8</v>
      </c>
      <c r="AC17" s="399">
        <v>7237.2</v>
      </c>
      <c r="AD17" s="399">
        <v>5402.44</v>
      </c>
      <c r="AE17" s="399">
        <v>7226.46</v>
      </c>
      <c r="AF17" s="399">
        <v>6795</v>
      </c>
      <c r="AG17" s="402"/>
      <c r="AH17" s="402"/>
      <c r="AI17" s="362"/>
      <c r="AJ17" s="401"/>
      <c r="AK17" s="403"/>
      <c r="AL17" s="404"/>
      <c r="AM17" s="375">
        <v>37535</v>
      </c>
      <c r="AN17" s="373" t="s">
        <v>437</v>
      </c>
      <c r="AO17" s="375" t="s">
        <v>432</v>
      </c>
      <c r="AP17" s="374" t="s">
        <v>435</v>
      </c>
      <c r="AQ17" s="374" t="s">
        <v>436</v>
      </c>
      <c r="AU17" s="361">
        <v>7226.46</v>
      </c>
      <c r="AV17" s="364">
        <f t="shared" si="3"/>
        <v>6013.3572671778011</v>
      </c>
      <c r="AW17" s="361">
        <v>7439</v>
      </c>
      <c r="AX17" s="615">
        <v>6795</v>
      </c>
    </row>
    <row r="18" spans="1:50" ht="33.75" x14ac:dyDescent="0.2">
      <c r="A18" s="392">
        <v>589040</v>
      </c>
      <c r="B18" s="393" t="s">
        <v>456</v>
      </c>
      <c r="C18" s="610" t="s">
        <v>401</v>
      </c>
      <c r="D18" s="611">
        <v>3512.37</v>
      </c>
      <c r="E18" s="394">
        <v>3955.12</v>
      </c>
      <c r="F18" s="394">
        <v>4454.8999999999996</v>
      </c>
      <c r="G18" s="394" t="s">
        <v>507</v>
      </c>
      <c r="H18" s="394">
        <v>4296.93</v>
      </c>
      <c r="I18" s="394">
        <v>7408.8</v>
      </c>
      <c r="J18" s="612">
        <v>7416.43</v>
      </c>
      <c r="L18" s="405"/>
      <c r="M18" s="405"/>
      <c r="N18" s="396"/>
      <c r="O18" s="396">
        <f>ROUND(N18/(1-0%),2)</f>
        <v>0</v>
      </c>
      <c r="P18" s="397"/>
      <c r="Q18" s="397">
        <f t="shared" si="0"/>
        <v>0</v>
      </c>
      <c r="R18" s="362">
        <v>7610</v>
      </c>
      <c r="S18" s="613">
        <v>7130</v>
      </c>
      <c r="T18" s="398"/>
      <c r="U18" s="415">
        <f t="shared" si="4"/>
        <v>7130</v>
      </c>
      <c r="V18" s="398">
        <f t="shared" si="1"/>
        <v>0.96137899231840651</v>
      </c>
      <c r="W18" s="407" t="s">
        <v>386</v>
      </c>
      <c r="X18" s="399">
        <f t="shared" si="2"/>
        <v>4296.93</v>
      </c>
      <c r="Y18" s="399"/>
      <c r="Z18" s="399">
        <v>5182.78</v>
      </c>
      <c r="AA18" s="399">
        <v>5188.97</v>
      </c>
      <c r="AB18" s="399">
        <v>6060.94</v>
      </c>
      <c r="AC18" s="399">
        <v>7408.8</v>
      </c>
      <c r="AD18" s="399">
        <v>6863.02</v>
      </c>
      <c r="AE18" s="399">
        <v>7416.43</v>
      </c>
      <c r="AF18" s="399">
        <v>7130</v>
      </c>
      <c r="AG18" s="402"/>
      <c r="AH18" s="402"/>
      <c r="AI18" s="362"/>
      <c r="AJ18" s="401"/>
      <c r="AK18" s="403"/>
      <c r="AL18" s="404"/>
      <c r="AM18" s="375">
        <v>37533</v>
      </c>
      <c r="AN18" s="373" t="s">
        <v>438</v>
      </c>
      <c r="AO18" s="375" t="s">
        <v>432</v>
      </c>
      <c r="AP18" s="374" t="s">
        <v>435</v>
      </c>
      <c r="AQ18" s="374" t="s">
        <v>436</v>
      </c>
      <c r="AU18" s="361">
        <v>7416.43</v>
      </c>
      <c r="AV18" s="364">
        <f t="shared" si="3"/>
        <v>6171.4370849649013</v>
      </c>
      <c r="AW18" s="361">
        <v>7610</v>
      </c>
      <c r="AX18" s="615">
        <v>7130</v>
      </c>
    </row>
    <row r="19" spans="1:50" ht="33.75" x14ac:dyDescent="0.2">
      <c r="A19" s="392">
        <v>589060</v>
      </c>
      <c r="B19" s="393" t="s">
        <v>457</v>
      </c>
      <c r="C19" s="610" t="s">
        <v>401</v>
      </c>
      <c r="D19" s="611">
        <v>3625.34</v>
      </c>
      <c r="E19" s="394">
        <v>4127.55</v>
      </c>
      <c r="F19" s="394">
        <v>4195.8999999999996</v>
      </c>
      <c r="G19" s="394" t="s">
        <v>508</v>
      </c>
      <c r="H19" s="394">
        <v>4032.87</v>
      </c>
      <c r="I19" s="394">
        <v>7549.6</v>
      </c>
      <c r="J19" s="612">
        <v>7531.53</v>
      </c>
      <c r="L19" s="405"/>
      <c r="M19" s="405"/>
      <c r="N19" s="405"/>
      <c r="O19" s="405"/>
      <c r="P19" s="397"/>
      <c r="Q19" s="397">
        <f t="shared" si="0"/>
        <v>0</v>
      </c>
      <c r="R19" s="362">
        <v>7797</v>
      </c>
      <c r="S19" s="613">
        <v>7435</v>
      </c>
      <c r="T19" s="398"/>
      <c r="U19" s="415">
        <f t="shared" si="4"/>
        <v>7435</v>
      </c>
      <c r="V19" s="398">
        <f t="shared" si="1"/>
        <v>0.9871832150970653</v>
      </c>
      <c r="W19" s="398" t="s">
        <v>390</v>
      </c>
      <c r="X19" s="399">
        <f t="shared" si="2"/>
        <v>4032.87</v>
      </c>
      <c r="Y19" s="399"/>
      <c r="Z19" s="399">
        <v>4864.28</v>
      </c>
      <c r="AA19" s="399">
        <v>5635.05</v>
      </c>
      <c r="AB19" s="399">
        <v>6155.24</v>
      </c>
      <c r="AC19" s="399">
        <v>7549.6</v>
      </c>
      <c r="AD19" s="399">
        <v>7569.71</v>
      </c>
      <c r="AE19" s="399">
        <v>7531.53</v>
      </c>
      <c r="AF19" s="399">
        <v>7435</v>
      </c>
      <c r="AG19" s="362"/>
      <c r="AH19" s="401"/>
      <c r="AI19" s="362"/>
      <c r="AJ19" s="400"/>
      <c r="AK19" s="403"/>
      <c r="AL19" s="404"/>
      <c r="AM19" s="375">
        <v>37537</v>
      </c>
      <c r="AN19" s="373" t="s">
        <v>439</v>
      </c>
      <c r="AO19" s="375" t="s">
        <v>432</v>
      </c>
      <c r="AP19" s="374" t="s">
        <v>435</v>
      </c>
      <c r="AQ19" s="374" t="s">
        <v>440</v>
      </c>
      <c r="AU19" s="361">
        <v>7531.53</v>
      </c>
      <c r="AV19" s="364">
        <f t="shared" si="3"/>
        <v>6267.2152974579003</v>
      </c>
      <c r="AW19" s="361">
        <v>7797</v>
      </c>
      <c r="AX19" s="615">
        <v>7435</v>
      </c>
    </row>
    <row r="20" spans="1:50" ht="33.75" x14ac:dyDescent="0.2">
      <c r="A20" s="392">
        <v>589189</v>
      </c>
      <c r="B20" s="393" t="s">
        <v>405</v>
      </c>
      <c r="C20" s="610" t="s">
        <v>401</v>
      </c>
      <c r="D20" s="611">
        <v>2690.38</v>
      </c>
      <c r="E20" s="394">
        <v>3059.62</v>
      </c>
      <c r="F20" s="394">
        <v>3102.01</v>
      </c>
      <c r="G20" s="394" t="s">
        <v>509</v>
      </c>
      <c r="H20" s="394">
        <v>2803.16</v>
      </c>
      <c r="I20" s="394">
        <v>4612.63</v>
      </c>
      <c r="J20" s="612">
        <v>5077.57</v>
      </c>
      <c r="L20" s="405"/>
      <c r="M20" s="405"/>
      <c r="N20" s="396"/>
      <c r="O20" s="396">
        <f>ROUND(N20/(1-0%),2)</f>
        <v>0</v>
      </c>
      <c r="P20" s="397"/>
      <c r="Q20" s="397">
        <f>ROUND(P20/(1-21.65%),2)</f>
        <v>0</v>
      </c>
      <c r="R20" s="362">
        <v>4262</v>
      </c>
      <c r="S20" s="613">
        <v>4040</v>
      </c>
      <c r="T20" s="398"/>
      <c r="U20" s="415">
        <f t="shared" si="4"/>
        <v>4040</v>
      </c>
      <c r="V20" s="398">
        <f t="shared" si="1"/>
        <v>0.79565618987035136</v>
      </c>
      <c r="W20" s="398" t="s">
        <v>386</v>
      </c>
      <c r="X20" s="399">
        <f t="shared" si="2"/>
        <v>2803.16</v>
      </c>
      <c r="Y20" s="399">
        <v>3951.04</v>
      </c>
      <c r="Z20" s="399">
        <v>3540.56</v>
      </c>
      <c r="AA20" s="399">
        <v>3540.17</v>
      </c>
      <c r="AB20" s="399">
        <v>3981.34</v>
      </c>
      <c r="AC20" s="399">
        <v>4612.63</v>
      </c>
      <c r="AD20" s="399">
        <v>4078.04</v>
      </c>
      <c r="AE20" s="399">
        <v>5077.57</v>
      </c>
      <c r="AF20" s="399">
        <v>4040</v>
      </c>
      <c r="AG20" s="402"/>
      <c r="AH20" s="402"/>
      <c r="AI20" s="362"/>
      <c r="AJ20" s="401"/>
      <c r="AK20" s="403"/>
      <c r="AL20" s="404"/>
      <c r="AM20" s="375">
        <v>516</v>
      </c>
      <c r="AN20" s="376" t="s">
        <v>441</v>
      </c>
      <c r="AO20" s="375" t="s">
        <v>432</v>
      </c>
      <c r="AP20" s="374" t="s">
        <v>425</v>
      </c>
      <c r="AQ20" s="374" t="s">
        <v>442</v>
      </c>
      <c r="AU20" s="361">
        <v>5077.57</v>
      </c>
      <c r="AV20" s="364">
        <f t="shared" si="3"/>
        <v>4225.2005074550998</v>
      </c>
      <c r="AW20" s="361">
        <v>4262</v>
      </c>
      <c r="AX20" s="615">
        <v>4040</v>
      </c>
    </row>
    <row r="21" spans="1:50" ht="33.75" x14ac:dyDescent="0.2">
      <c r="A21" s="392">
        <v>589180</v>
      </c>
      <c r="B21" s="393" t="s">
        <v>406</v>
      </c>
      <c r="C21" s="610" t="s">
        <v>401</v>
      </c>
      <c r="D21" s="611">
        <v>2860.81</v>
      </c>
      <c r="E21" s="394">
        <v>3354.56</v>
      </c>
      <c r="F21" s="394">
        <v>3009.5</v>
      </c>
      <c r="G21" s="394" t="s">
        <v>510</v>
      </c>
      <c r="H21" s="394">
        <v>3295.64</v>
      </c>
      <c r="I21" s="394">
        <v>5974.97</v>
      </c>
      <c r="J21" s="612">
        <v>5866.23</v>
      </c>
      <c r="L21" s="405"/>
      <c r="M21" s="405"/>
      <c r="N21" s="396"/>
      <c r="O21" s="396">
        <f>ROUND(N21/(1-0%),2)</f>
        <v>0</v>
      </c>
      <c r="P21" s="397"/>
      <c r="Q21" s="397">
        <f>ROUND(P21/(1-21.65%),2)</f>
        <v>0</v>
      </c>
      <c r="R21" s="362"/>
      <c r="S21" s="613">
        <v>5080</v>
      </c>
      <c r="T21" s="398"/>
      <c r="U21" s="415">
        <f t="shared" si="4"/>
        <v>5080</v>
      </c>
      <c r="V21" s="398">
        <f t="shared" si="1"/>
        <v>0.86597354689468375</v>
      </c>
      <c r="W21" s="398" t="s">
        <v>386</v>
      </c>
      <c r="X21" s="399">
        <f t="shared" si="2"/>
        <v>3295.64</v>
      </c>
      <c r="Y21" s="399">
        <v>4645.1899999999996</v>
      </c>
      <c r="Z21" s="399">
        <v>4080.54</v>
      </c>
      <c r="AA21" s="399">
        <v>3985.51</v>
      </c>
      <c r="AB21" s="399">
        <v>4460.5</v>
      </c>
      <c r="AC21" s="399">
        <v>5974.97</v>
      </c>
      <c r="AD21" s="399">
        <v>4802.82</v>
      </c>
      <c r="AE21" s="399">
        <v>5866.23</v>
      </c>
      <c r="AF21" s="399">
        <v>5080</v>
      </c>
      <c r="AG21" s="402"/>
      <c r="AH21" s="402"/>
      <c r="AI21" s="362"/>
      <c r="AJ21" s="401"/>
      <c r="AK21" s="403"/>
      <c r="AL21" s="404"/>
      <c r="AM21" s="375">
        <v>509</v>
      </c>
      <c r="AN21" s="376" t="s">
        <v>443</v>
      </c>
      <c r="AO21" s="375" t="s">
        <v>432</v>
      </c>
      <c r="AP21" s="374" t="s">
        <v>425</v>
      </c>
      <c r="AQ21" s="374" t="s">
        <v>444</v>
      </c>
      <c r="AU21" s="361">
        <v>5866.23</v>
      </c>
      <c r="AV21" s="364">
        <f t="shared" si="3"/>
        <v>4881.4684923789</v>
      </c>
      <c r="AW21" s="361"/>
      <c r="AX21" s="615">
        <v>5080</v>
      </c>
    </row>
    <row r="22" spans="1:50" ht="12.75" x14ac:dyDescent="0.2">
      <c r="A22" s="392">
        <v>589170</v>
      </c>
      <c r="B22" s="393" t="s">
        <v>407</v>
      </c>
      <c r="C22" s="610" t="s">
        <v>401</v>
      </c>
      <c r="D22" s="611">
        <v>2060.48</v>
      </c>
      <c r="E22" s="394">
        <v>2425.62</v>
      </c>
      <c r="F22" s="394">
        <v>2546.94</v>
      </c>
      <c r="G22" s="394" t="s">
        <v>511</v>
      </c>
      <c r="H22" s="394">
        <v>2659.11</v>
      </c>
      <c r="I22" s="394">
        <v>4654.68</v>
      </c>
      <c r="J22" s="612">
        <v>4557.91</v>
      </c>
      <c r="L22" s="405"/>
      <c r="M22" s="405"/>
      <c r="N22" s="396"/>
      <c r="O22" s="396">
        <f>ROUND(N22/(1-0%),2)</f>
        <v>0</v>
      </c>
      <c r="P22" s="397"/>
      <c r="Q22" s="397">
        <f>ROUND(P22/(1-21.65%),2)</f>
        <v>0</v>
      </c>
      <c r="R22" s="362">
        <v>4561</v>
      </c>
      <c r="S22" s="613">
        <v>4205</v>
      </c>
      <c r="T22" s="398"/>
      <c r="U22" s="415">
        <f t="shared" si="4"/>
        <v>4205</v>
      </c>
      <c r="V22" s="398">
        <f t="shared" si="1"/>
        <v>0.922571968292485</v>
      </c>
      <c r="W22" s="398" t="s">
        <v>386</v>
      </c>
      <c r="X22" s="399">
        <f t="shared" si="2"/>
        <v>2659.11</v>
      </c>
      <c r="Y22" s="399">
        <v>3748</v>
      </c>
      <c r="Z22" s="399">
        <v>3857.97</v>
      </c>
      <c r="AA22" s="399">
        <v>3335.32</v>
      </c>
      <c r="AB22" s="399">
        <v>3428.76</v>
      </c>
      <c r="AC22" s="399">
        <v>4654.68</v>
      </c>
      <c r="AD22" s="399">
        <v>3449.67</v>
      </c>
      <c r="AE22" s="399">
        <v>4557.91</v>
      </c>
      <c r="AF22" s="399">
        <v>4205</v>
      </c>
      <c r="AG22" s="402"/>
      <c r="AH22" s="402"/>
      <c r="AI22" s="362"/>
      <c r="AJ22" s="401"/>
      <c r="AK22" s="403"/>
      <c r="AL22" s="404"/>
      <c r="AU22" s="361">
        <v>4557.91</v>
      </c>
      <c r="AV22" s="364">
        <f t="shared" si="3"/>
        <v>3792.7756082013002</v>
      </c>
      <c r="AW22" s="361">
        <v>4561</v>
      </c>
      <c r="AX22" s="615">
        <v>4205</v>
      </c>
    </row>
    <row r="23" spans="1:50" ht="25.5" x14ac:dyDescent="0.2">
      <c r="A23" s="392"/>
      <c r="B23" s="393" t="s">
        <v>458</v>
      </c>
      <c r="C23" s="610" t="s">
        <v>401</v>
      </c>
      <c r="D23" s="611"/>
      <c r="E23" s="394"/>
      <c r="F23" s="394"/>
      <c r="G23" s="394"/>
      <c r="H23" s="394"/>
      <c r="I23" s="394"/>
      <c r="J23" s="612"/>
      <c r="L23" s="405"/>
      <c r="M23" s="405"/>
      <c r="N23" s="408"/>
      <c r="O23" s="408"/>
      <c r="P23" s="397"/>
      <c r="Q23" s="397">
        <f>ROUND(P23/(1-21.65%),2)</f>
        <v>0</v>
      </c>
      <c r="R23" s="362"/>
      <c r="S23" s="402"/>
      <c r="T23" s="398"/>
      <c r="U23" s="415"/>
      <c r="V23" s="398" t="str">
        <f t="shared" si="1"/>
        <v/>
      </c>
      <c r="W23" s="398"/>
      <c r="X23" s="399"/>
      <c r="Y23" s="399"/>
      <c r="Z23" s="399"/>
      <c r="AA23" s="399"/>
      <c r="AB23" s="399"/>
      <c r="AC23" s="399"/>
      <c r="AD23" s="399">
        <v>5141.7</v>
      </c>
      <c r="AE23" s="399"/>
      <c r="AF23" s="399"/>
      <c r="AG23" s="402"/>
      <c r="AH23" s="402"/>
      <c r="AI23" s="362"/>
      <c r="AJ23" s="362"/>
      <c r="AK23" s="403"/>
      <c r="AL23" s="404"/>
      <c r="AM23" s="375">
        <v>41899</v>
      </c>
      <c r="AN23" s="376" t="s">
        <v>445</v>
      </c>
      <c r="AO23" s="375" t="s">
        <v>428</v>
      </c>
      <c r="AP23" s="374" t="s">
        <v>429</v>
      </c>
      <c r="AQ23" s="374" t="s">
        <v>422</v>
      </c>
      <c r="AV23" s="364"/>
      <c r="AW23" s="361"/>
      <c r="AX23" s="616"/>
    </row>
    <row r="24" spans="1:50" ht="12.75" x14ac:dyDescent="0.2">
      <c r="A24" s="392">
        <v>589220</v>
      </c>
      <c r="B24" s="393" t="s">
        <v>408</v>
      </c>
      <c r="C24" s="610" t="s">
        <v>401</v>
      </c>
      <c r="D24" s="611">
        <v>2243.8000000000002</v>
      </c>
      <c r="E24" s="394">
        <v>2576.65</v>
      </c>
      <c r="F24" s="394">
        <v>2984.82</v>
      </c>
      <c r="G24" s="394" t="s">
        <v>512</v>
      </c>
      <c r="H24" s="394">
        <v>2963.28</v>
      </c>
      <c r="I24" s="394">
        <v>4717.33</v>
      </c>
      <c r="J24" s="612">
        <v>4639.05</v>
      </c>
      <c r="L24" s="405"/>
      <c r="M24" s="405"/>
      <c r="N24" s="396"/>
      <c r="O24" s="396">
        <f>ROUND(N24/(1-0%),2)</f>
        <v>0</v>
      </c>
      <c r="P24" s="397"/>
      <c r="Q24" s="397">
        <f>ROUND(P24/(1-21.65%),2)</f>
        <v>0</v>
      </c>
      <c r="R24" s="362">
        <v>4711</v>
      </c>
      <c r="S24" s="613">
        <v>4440</v>
      </c>
      <c r="T24" s="398"/>
      <c r="U24" s="415">
        <f t="shared" si="4"/>
        <v>4440</v>
      </c>
      <c r="V24" s="398">
        <f t="shared" si="1"/>
        <v>0.95709250816438707</v>
      </c>
      <c r="W24" s="398" t="s">
        <v>386</v>
      </c>
      <c r="X24" s="399">
        <f t="shared" si="2"/>
        <v>2963.28</v>
      </c>
      <c r="Y24" s="399">
        <v>4176.7299999999996</v>
      </c>
      <c r="Z24" s="399">
        <v>3270.49</v>
      </c>
      <c r="AA24" s="399">
        <v>3276.86</v>
      </c>
      <c r="AB24" s="399">
        <v>3613.68</v>
      </c>
      <c r="AC24" s="399">
        <v>4717.33</v>
      </c>
      <c r="AD24" s="399">
        <v>4136.6899999999996</v>
      </c>
      <c r="AE24" s="399">
        <v>4639.05</v>
      </c>
      <c r="AF24" s="399">
        <v>4440</v>
      </c>
      <c r="AG24" s="402"/>
      <c r="AH24" s="402"/>
      <c r="AI24" s="362"/>
      <c r="AJ24" s="401"/>
      <c r="AK24" s="403"/>
      <c r="AL24" s="404"/>
      <c r="AU24" s="361">
        <v>4639.05</v>
      </c>
      <c r="AV24" s="364">
        <f>AU24*(1-$AY$10)</f>
        <v>3860.2946712915004</v>
      </c>
      <c r="AW24" s="361">
        <v>4711</v>
      </c>
      <c r="AX24" s="615">
        <v>4440</v>
      </c>
    </row>
    <row r="25" spans="1:50" ht="25.5" x14ac:dyDescent="0.2">
      <c r="A25" s="392"/>
      <c r="B25" s="393" t="s">
        <v>459</v>
      </c>
      <c r="C25" s="610" t="s">
        <v>401</v>
      </c>
      <c r="D25" s="611">
        <v>2766.42</v>
      </c>
      <c r="E25" s="394">
        <v>2922.03</v>
      </c>
      <c r="F25" s="394">
        <v>3666.21</v>
      </c>
      <c r="G25" s="394" t="s">
        <v>513</v>
      </c>
      <c r="H25" s="394"/>
      <c r="I25" s="394">
        <v>6257.5</v>
      </c>
      <c r="J25" s="612">
        <v>6167.5</v>
      </c>
      <c r="L25" s="405"/>
      <c r="M25" s="405"/>
      <c r="N25" s="408"/>
      <c r="O25" s="408"/>
      <c r="P25" s="408"/>
      <c r="Q25" s="408"/>
      <c r="R25" s="362"/>
      <c r="S25" s="402"/>
      <c r="T25" s="398"/>
      <c r="U25" s="415"/>
      <c r="V25" s="398">
        <f t="shared" si="1"/>
        <v>0</v>
      </c>
      <c r="W25" s="398"/>
      <c r="X25" s="399"/>
      <c r="Y25" s="399"/>
      <c r="Z25" s="399"/>
      <c r="AA25" s="399"/>
      <c r="AB25" s="399"/>
      <c r="AC25" s="399">
        <v>6257.5</v>
      </c>
      <c r="AD25" s="399"/>
      <c r="AE25" s="399">
        <v>6167.5</v>
      </c>
      <c r="AF25" s="399"/>
      <c r="AG25" s="402"/>
      <c r="AH25" s="402"/>
      <c r="AI25" s="362"/>
      <c r="AJ25" s="362"/>
      <c r="AK25" s="403"/>
      <c r="AL25" s="404"/>
      <c r="AV25" s="364"/>
      <c r="AW25" s="361"/>
      <c r="AX25" s="616"/>
    </row>
    <row r="26" spans="1:50" ht="12.75" x14ac:dyDescent="0.2">
      <c r="A26" s="392">
        <v>589320</v>
      </c>
      <c r="B26" s="393" t="s">
        <v>409</v>
      </c>
      <c r="C26" s="610" t="s">
        <v>401</v>
      </c>
      <c r="D26" s="611">
        <v>2346.0300000000002</v>
      </c>
      <c r="E26" s="394">
        <v>2699.61</v>
      </c>
      <c r="F26" s="394">
        <v>2855.3</v>
      </c>
      <c r="G26" s="394" t="s">
        <v>514</v>
      </c>
      <c r="H26" s="394">
        <v>2773.46</v>
      </c>
      <c r="I26" s="394">
        <v>5048.25</v>
      </c>
      <c r="J26" s="612">
        <v>4857.76</v>
      </c>
      <c r="L26" s="405"/>
      <c r="M26" s="405"/>
      <c r="N26" s="408"/>
      <c r="O26" s="408">
        <f>ROUND(N26/(1-0%),2)</f>
        <v>0</v>
      </c>
      <c r="P26" s="397"/>
      <c r="Q26" s="397">
        <f>ROUND(P26/(1-21.65%),2)</f>
        <v>0</v>
      </c>
      <c r="R26" s="362">
        <v>4987</v>
      </c>
      <c r="S26" s="613">
        <v>4680</v>
      </c>
      <c r="T26" s="398"/>
      <c r="U26" s="415">
        <f t="shared" si="4"/>
        <v>4680</v>
      </c>
      <c r="V26" s="398">
        <f t="shared" si="1"/>
        <v>0.96340700240440036</v>
      </c>
      <c r="W26" s="398" t="s">
        <v>390</v>
      </c>
      <c r="X26" s="399">
        <f t="shared" si="2"/>
        <v>2773.46</v>
      </c>
      <c r="Y26" s="399">
        <v>3909.18</v>
      </c>
      <c r="Z26" s="399">
        <v>3617.13</v>
      </c>
      <c r="AA26" s="399">
        <v>3843.65</v>
      </c>
      <c r="AB26" s="399">
        <v>4206.5200000000004</v>
      </c>
      <c r="AC26" s="399">
        <v>5048.25</v>
      </c>
      <c r="AD26" s="399">
        <v>4206.5200000000004</v>
      </c>
      <c r="AE26" s="399">
        <v>4857.76</v>
      </c>
      <c r="AF26" s="399">
        <v>4680</v>
      </c>
      <c r="AG26" s="402"/>
      <c r="AH26" s="402"/>
      <c r="AI26" s="362"/>
      <c r="AJ26" s="401"/>
      <c r="AK26" s="403"/>
      <c r="AL26" s="404"/>
      <c r="AU26" s="361">
        <v>4857.76</v>
      </c>
      <c r="AV26" s="364">
        <f>AU26*(1-$AY$10)</f>
        <v>4042.2899176368005</v>
      </c>
      <c r="AW26" s="361">
        <v>4987</v>
      </c>
      <c r="AX26" s="615">
        <v>4680</v>
      </c>
    </row>
    <row r="27" spans="1:50" ht="25.5" x14ac:dyDescent="0.2">
      <c r="A27" s="617"/>
      <c r="B27" s="393" t="s">
        <v>515</v>
      </c>
      <c r="C27" s="610" t="s">
        <v>401</v>
      </c>
      <c r="D27" s="611">
        <v>2974.6</v>
      </c>
      <c r="E27" s="394">
        <v>3289.45</v>
      </c>
      <c r="F27" s="394">
        <v>3520</v>
      </c>
      <c r="G27" s="394" t="s">
        <v>516</v>
      </c>
      <c r="H27" s="394"/>
      <c r="I27" s="394">
        <v>5750</v>
      </c>
      <c r="J27" s="612">
        <v>5667.29</v>
      </c>
      <c r="L27" s="405"/>
      <c r="M27" s="405"/>
      <c r="N27" s="408"/>
      <c r="O27" s="408"/>
      <c r="P27" s="397"/>
      <c r="Q27" s="397"/>
      <c r="R27" s="362"/>
      <c r="S27" s="613"/>
      <c r="T27" s="398"/>
      <c r="U27" s="415"/>
      <c r="V27" s="398"/>
      <c r="W27" s="398"/>
      <c r="X27" s="399"/>
      <c r="Y27" s="399"/>
      <c r="Z27" s="399"/>
      <c r="AA27" s="399"/>
      <c r="AB27" s="399"/>
      <c r="AC27" s="399">
        <v>5750</v>
      </c>
      <c r="AD27" s="399"/>
      <c r="AE27" s="399">
        <v>5667.29</v>
      </c>
      <c r="AF27" s="399">
        <v>0</v>
      </c>
      <c r="AG27" s="402"/>
      <c r="AH27" s="402"/>
      <c r="AI27" s="362"/>
      <c r="AJ27" s="401"/>
      <c r="AK27" s="403"/>
      <c r="AL27" s="404"/>
      <c r="AV27" s="364"/>
      <c r="AW27" s="361"/>
      <c r="AX27" s="615"/>
    </row>
    <row r="28" spans="1:50" ht="12.75" x14ac:dyDescent="0.2">
      <c r="A28" s="392">
        <v>589420</v>
      </c>
      <c r="B28" s="393" t="s">
        <v>410</v>
      </c>
      <c r="C28" s="610" t="s">
        <v>401</v>
      </c>
      <c r="D28" s="611">
        <v>1946.7</v>
      </c>
      <c r="E28" s="394">
        <v>2307.86</v>
      </c>
      <c r="F28" s="394">
        <v>2422.8200000000002</v>
      </c>
      <c r="G28" s="394" t="s">
        <v>517</v>
      </c>
      <c r="H28" s="394">
        <v>2353.66</v>
      </c>
      <c r="I28" s="394">
        <v>4520.62</v>
      </c>
      <c r="J28" s="612">
        <v>4452.99</v>
      </c>
      <c r="L28" s="405"/>
      <c r="M28" s="405"/>
      <c r="N28" s="396"/>
      <c r="O28" s="396">
        <f>ROUND(N28/(1-0%),2)</f>
        <v>0</v>
      </c>
      <c r="P28" s="397"/>
      <c r="Q28" s="397">
        <f t="shared" ref="Q28:Q30" si="5">ROUND(P28/(1-21.65%),2)</f>
        <v>0</v>
      </c>
      <c r="R28" s="362">
        <v>4225</v>
      </c>
      <c r="S28" s="613">
        <v>3820</v>
      </c>
      <c r="T28" s="398"/>
      <c r="U28" s="415">
        <f t="shared" si="4"/>
        <v>3820</v>
      </c>
      <c r="V28" s="398">
        <f>IF(J28=0,"",U28/J28)</f>
        <v>0.85785056782072278</v>
      </c>
      <c r="W28" s="398" t="s">
        <v>386</v>
      </c>
      <c r="X28" s="399">
        <f t="shared" si="2"/>
        <v>2353.66</v>
      </c>
      <c r="Y28" s="399">
        <v>3317.47</v>
      </c>
      <c r="Z28" s="399">
        <v>2934.27</v>
      </c>
      <c r="AA28" s="399">
        <v>3123.51</v>
      </c>
      <c r="AB28" s="399">
        <v>3537.5</v>
      </c>
      <c r="AC28" s="399">
        <v>4520.62</v>
      </c>
      <c r="AD28" s="399">
        <v>3813.72</v>
      </c>
      <c r="AE28" s="399">
        <v>4452.99</v>
      </c>
      <c r="AF28" s="399">
        <v>3820</v>
      </c>
      <c r="AG28" s="402"/>
      <c r="AH28" s="402"/>
      <c r="AI28" s="362"/>
      <c r="AJ28" s="401"/>
      <c r="AK28" s="403"/>
      <c r="AL28" s="404"/>
      <c r="AU28" s="361">
        <v>4452.99</v>
      </c>
      <c r="AV28" s="364">
        <f>AU28*(1-$AY$10)</f>
        <v>3705.4684834857003</v>
      </c>
      <c r="AW28" s="361">
        <v>4225</v>
      </c>
      <c r="AX28" s="615">
        <v>3820</v>
      </c>
    </row>
    <row r="29" spans="1:50" ht="25.5" x14ac:dyDescent="0.2">
      <c r="A29" s="392">
        <v>589430</v>
      </c>
      <c r="B29" s="393" t="s">
        <v>411</v>
      </c>
      <c r="C29" s="610" t="s">
        <v>401</v>
      </c>
      <c r="D29" s="611">
        <v>2309.17</v>
      </c>
      <c r="E29" s="394">
        <v>2689.95</v>
      </c>
      <c r="F29" s="394">
        <v>2843.8</v>
      </c>
      <c r="G29" s="394" t="s">
        <v>518</v>
      </c>
      <c r="H29" s="394">
        <v>2858.64</v>
      </c>
      <c r="I29" s="394">
        <v>5448.56</v>
      </c>
      <c r="J29" s="612">
        <v>5356.77</v>
      </c>
      <c r="L29" s="405"/>
      <c r="M29" s="405"/>
      <c r="N29" s="408"/>
      <c r="O29" s="408">
        <f>ROUND(N29/(1-5%),2)</f>
        <v>0</v>
      </c>
      <c r="P29" s="397"/>
      <c r="Q29" s="397">
        <f t="shared" si="5"/>
        <v>0</v>
      </c>
      <c r="R29" s="362">
        <v>4957</v>
      </c>
      <c r="S29" s="613">
        <v>4435</v>
      </c>
      <c r="T29" s="398"/>
      <c r="U29" s="415">
        <f t="shared" si="4"/>
        <v>4435</v>
      </c>
      <c r="V29" s="398">
        <f>IF(J29=0,"",U29/J29)</f>
        <v>0.82792429019726432</v>
      </c>
      <c r="W29" s="407" t="s">
        <v>390</v>
      </c>
      <c r="X29" s="399">
        <f t="shared" si="2"/>
        <v>2858.64</v>
      </c>
      <c r="Y29" s="399"/>
      <c r="Z29" s="399">
        <v>3861.52</v>
      </c>
      <c r="AA29" s="399">
        <v>4147.8599999999997</v>
      </c>
      <c r="AB29" s="399">
        <v>4747.67</v>
      </c>
      <c r="AC29" s="399">
        <v>5448.56</v>
      </c>
      <c r="AD29" s="399">
        <v>5038.26</v>
      </c>
      <c r="AE29" s="399">
        <v>5356.77</v>
      </c>
      <c r="AF29" s="399">
        <v>4435</v>
      </c>
      <c r="AG29" s="402"/>
      <c r="AH29" s="402"/>
      <c r="AI29" s="362"/>
      <c r="AJ29" s="401"/>
      <c r="AK29" s="403"/>
      <c r="AL29" s="404"/>
      <c r="AU29" s="361">
        <v>5356.77</v>
      </c>
      <c r="AV29" s="364">
        <f>AU29*(1-$AY$10)</f>
        <v>4457.5313235111007</v>
      </c>
      <c r="AW29" s="361">
        <v>4957</v>
      </c>
      <c r="AX29" s="615">
        <v>4435</v>
      </c>
    </row>
    <row r="30" spans="1:50" ht="12.75" x14ac:dyDescent="0.2">
      <c r="A30" s="392">
        <v>589520</v>
      </c>
      <c r="B30" s="393" t="s">
        <v>412</v>
      </c>
      <c r="C30" s="610" t="s">
        <v>401</v>
      </c>
      <c r="D30" s="611">
        <v>2071.1</v>
      </c>
      <c r="E30" s="394">
        <v>2499.5700000000002</v>
      </c>
      <c r="F30" s="394">
        <v>2706.06</v>
      </c>
      <c r="G30" s="394" t="s">
        <v>519</v>
      </c>
      <c r="H30" s="394">
        <v>2665.24</v>
      </c>
      <c r="I30" s="394">
        <v>4925.2</v>
      </c>
      <c r="J30" s="612">
        <v>4845.32</v>
      </c>
      <c r="L30" s="405"/>
      <c r="M30" s="405"/>
      <c r="N30" s="396"/>
      <c r="O30" s="396">
        <f>ROUND(N30/(1-0%),2)</f>
        <v>0</v>
      </c>
      <c r="P30" s="397"/>
      <c r="Q30" s="397">
        <f t="shared" si="5"/>
        <v>0</v>
      </c>
      <c r="R30" s="362">
        <v>4590</v>
      </c>
      <c r="S30" s="613">
        <v>4168</v>
      </c>
      <c r="T30" s="398"/>
      <c r="U30" s="415">
        <f t="shared" si="4"/>
        <v>4168</v>
      </c>
      <c r="V30" s="398">
        <f>IF(J30=0,"",U30/J30)</f>
        <v>0.8602115030586216</v>
      </c>
      <c r="W30" s="398" t="s">
        <v>386</v>
      </c>
      <c r="X30" s="399">
        <f t="shared" si="2"/>
        <v>2665.24</v>
      </c>
      <c r="Y30" s="399">
        <v>3756.64</v>
      </c>
      <c r="Z30" s="399">
        <v>3314.7</v>
      </c>
      <c r="AA30" s="399">
        <v>3487.86</v>
      </c>
      <c r="AB30" s="399">
        <v>3897.06</v>
      </c>
      <c r="AC30" s="399">
        <v>4925.2</v>
      </c>
      <c r="AD30" s="399">
        <v>4062.97</v>
      </c>
      <c r="AE30" s="399">
        <v>4845.32</v>
      </c>
      <c r="AF30" s="399">
        <v>4168</v>
      </c>
      <c r="AG30" s="402"/>
      <c r="AH30" s="402"/>
      <c r="AI30" s="362"/>
      <c r="AJ30" s="401"/>
      <c r="AK30" s="403"/>
      <c r="AL30" s="404"/>
      <c r="AU30" s="361">
        <v>4845.32</v>
      </c>
      <c r="AV30" s="364">
        <f>AU30*(1-$AY$10)</f>
        <v>4031.9382150876004</v>
      </c>
      <c r="AW30" s="361">
        <v>4590</v>
      </c>
      <c r="AX30" s="615">
        <v>4168</v>
      </c>
    </row>
    <row r="31" spans="1:50" ht="26.25" thickBot="1" x14ac:dyDescent="0.25">
      <c r="A31" s="409">
        <v>589530</v>
      </c>
      <c r="B31" s="410" t="s">
        <v>413</v>
      </c>
      <c r="C31" s="618" t="s">
        <v>401</v>
      </c>
      <c r="D31" s="619">
        <v>2474.31</v>
      </c>
      <c r="E31" s="411">
        <v>2935.83</v>
      </c>
      <c r="F31" s="411">
        <v>2805.13</v>
      </c>
      <c r="G31" s="411" t="s">
        <v>520</v>
      </c>
      <c r="H31" s="411">
        <v>2884.67</v>
      </c>
      <c r="I31" s="411">
        <v>5839.6</v>
      </c>
      <c r="J31" s="620">
        <v>5741.44</v>
      </c>
      <c r="K31" s="331"/>
      <c r="L31" s="412"/>
      <c r="M31" s="412"/>
      <c r="N31" s="413"/>
      <c r="O31" s="413">
        <f>ROUND(N31/(1-0%),2)</f>
        <v>0</v>
      </c>
      <c r="P31" s="397"/>
      <c r="Q31" s="397">
        <f>ROUND(P31/(1-21.65%),2)</f>
        <v>0</v>
      </c>
      <c r="R31" s="362">
        <v>5454</v>
      </c>
      <c r="S31" s="613">
        <v>4800</v>
      </c>
      <c r="T31" s="414"/>
      <c r="U31" s="415">
        <f t="shared" si="4"/>
        <v>4800</v>
      </c>
      <c r="V31" s="398">
        <f>IF(J31=0,"",U31/J31)</f>
        <v>0.83602719875153275</v>
      </c>
      <c r="W31" s="407" t="s">
        <v>386</v>
      </c>
      <c r="X31" s="399">
        <f t="shared" si="2"/>
        <v>2884.67</v>
      </c>
      <c r="Y31" s="399"/>
      <c r="Z31" s="399">
        <v>3660.49</v>
      </c>
      <c r="AA31" s="399">
        <v>3937.04</v>
      </c>
      <c r="AB31" s="399">
        <v>4209.59</v>
      </c>
      <c r="AC31" s="399">
        <v>5839.6</v>
      </c>
      <c r="AD31" s="399">
        <v>4932.16</v>
      </c>
      <c r="AE31" s="399">
        <v>5741.44</v>
      </c>
      <c r="AF31" s="399">
        <v>4800</v>
      </c>
      <c r="AG31" s="402"/>
      <c r="AH31" s="362"/>
      <c r="AI31" s="362"/>
      <c r="AJ31" s="401"/>
      <c r="AK31" s="403"/>
      <c r="AL31" s="404"/>
      <c r="AU31" s="361">
        <v>5741.44</v>
      </c>
      <c r="AV31" s="364">
        <f>AU31*(1-$AY$10)</f>
        <v>4777.6269360192</v>
      </c>
      <c r="AW31" s="361">
        <v>5454</v>
      </c>
      <c r="AX31" s="615">
        <v>4800</v>
      </c>
    </row>
    <row r="32" spans="1:50" x14ac:dyDescent="0.2">
      <c r="AA32"/>
      <c r="AB32"/>
      <c r="AC32"/>
      <c r="AD32"/>
      <c r="AE32"/>
      <c r="AF32"/>
      <c r="AJ32" s="361"/>
      <c r="AW32" s="361"/>
      <c r="AX32" s="361"/>
    </row>
    <row r="33" spans="18:50" x14ac:dyDescent="0.2">
      <c r="AA33"/>
      <c r="AB33"/>
      <c r="AC33"/>
      <c r="AD33"/>
      <c r="AE33"/>
      <c r="AF33"/>
      <c r="AJ33" s="361"/>
      <c r="AW33" s="361"/>
      <c r="AX33" s="361"/>
    </row>
    <row r="34" spans="18:50" x14ac:dyDescent="0.2">
      <c r="AA34"/>
      <c r="AB34"/>
      <c r="AC34"/>
      <c r="AD34"/>
      <c r="AE34"/>
      <c r="AF34"/>
      <c r="AJ34" s="361"/>
      <c r="AW34" s="361"/>
      <c r="AX34" s="361"/>
    </row>
    <row r="35" spans="18:50" x14ac:dyDescent="0.2">
      <c r="AA35"/>
      <c r="AB35"/>
      <c r="AC35"/>
      <c r="AD35"/>
      <c r="AE35"/>
      <c r="AF35"/>
      <c r="AJ35" s="361"/>
      <c r="AW35" s="361"/>
      <c r="AX35" s="361"/>
    </row>
    <row r="36" spans="18:50" x14ac:dyDescent="0.2">
      <c r="R36" t="s">
        <v>4</v>
      </c>
      <c r="AA36"/>
      <c r="AB36"/>
      <c r="AC36"/>
      <c r="AD36"/>
      <c r="AE36"/>
      <c r="AF36"/>
      <c r="AJ36" s="361"/>
      <c r="AW36" s="361"/>
      <c r="AX36" s="361"/>
    </row>
    <row r="37" spans="18:50" x14ac:dyDescent="0.2">
      <c r="AA37"/>
      <c r="AB37"/>
      <c r="AC37"/>
      <c r="AD37"/>
      <c r="AE37"/>
      <c r="AF37"/>
      <c r="AJ37" s="361"/>
      <c r="AW37" s="361"/>
      <c r="AX37" s="361"/>
    </row>
    <row r="38" spans="18:50" x14ac:dyDescent="0.2">
      <c r="AA38"/>
      <c r="AB38"/>
      <c r="AC38"/>
      <c r="AD38"/>
      <c r="AE38"/>
      <c r="AF38"/>
      <c r="AJ38" s="361"/>
      <c r="AW38" s="361"/>
      <c r="AX38" s="361"/>
    </row>
    <row r="39" spans="18:50" x14ac:dyDescent="0.2">
      <c r="AA39"/>
      <c r="AB39"/>
      <c r="AC39"/>
      <c r="AD39"/>
      <c r="AE39"/>
      <c r="AF39"/>
      <c r="AJ39" s="361"/>
      <c r="AW39" s="361"/>
      <c r="AX39" s="361"/>
    </row>
    <row r="40" spans="18:50" x14ac:dyDescent="0.2">
      <c r="AA40"/>
      <c r="AB40"/>
      <c r="AC40"/>
      <c r="AD40"/>
      <c r="AE40"/>
      <c r="AF40"/>
      <c r="AJ40" s="361"/>
      <c r="AW40" s="361"/>
      <c r="AX40" s="361"/>
    </row>
    <row r="41" spans="18:50" x14ac:dyDescent="0.2">
      <c r="AA41"/>
      <c r="AB41"/>
      <c r="AC41"/>
      <c r="AD41"/>
      <c r="AE41"/>
      <c r="AF41"/>
      <c r="AJ41" s="361"/>
      <c r="AW41" s="361"/>
      <c r="AX41" s="361"/>
    </row>
    <row r="42" spans="18:50" x14ac:dyDescent="0.2">
      <c r="AA42"/>
      <c r="AB42"/>
      <c r="AC42"/>
      <c r="AD42"/>
      <c r="AE42"/>
      <c r="AF42"/>
      <c r="AJ42" s="361"/>
      <c r="AW42" s="361"/>
      <c r="AX42" s="361"/>
    </row>
    <row r="43" spans="18:50" x14ac:dyDescent="0.2">
      <c r="AA43"/>
      <c r="AB43"/>
      <c r="AC43"/>
      <c r="AD43"/>
      <c r="AE43"/>
      <c r="AF43"/>
      <c r="AJ43" s="361"/>
      <c r="AW43" s="361"/>
      <c r="AX43" s="361"/>
    </row>
    <row r="44" spans="18:50" x14ac:dyDescent="0.2">
      <c r="AA44"/>
      <c r="AB44"/>
      <c r="AC44"/>
      <c r="AD44"/>
      <c r="AE44"/>
      <c r="AF44"/>
      <c r="AJ44" s="361"/>
      <c r="AW44" s="361"/>
      <c r="AX44" s="361"/>
    </row>
    <row r="45" spans="18:50" x14ac:dyDescent="0.2">
      <c r="AA45"/>
      <c r="AB45"/>
      <c r="AC45"/>
      <c r="AD45"/>
      <c r="AE45"/>
      <c r="AF45"/>
      <c r="AJ45" s="361"/>
      <c r="AW45" s="361"/>
      <c r="AX45" s="361"/>
    </row>
    <row r="46" spans="18:50" x14ac:dyDescent="0.2">
      <c r="AA46"/>
      <c r="AB46"/>
      <c r="AC46"/>
      <c r="AD46"/>
      <c r="AE46"/>
      <c r="AF46"/>
      <c r="AJ46" s="361"/>
      <c r="AW46" s="361"/>
      <c r="AX46" s="361"/>
    </row>
    <row r="47" spans="18:50" x14ac:dyDescent="0.2">
      <c r="AA47"/>
      <c r="AB47"/>
      <c r="AC47"/>
      <c r="AD47"/>
      <c r="AE47"/>
      <c r="AF47"/>
      <c r="AJ47" s="361"/>
      <c r="AW47" s="361"/>
      <c r="AX47" s="361"/>
    </row>
    <row r="48" spans="18:50" x14ac:dyDescent="0.2">
      <c r="AA48"/>
      <c r="AB48"/>
      <c r="AC48"/>
      <c r="AD48"/>
      <c r="AE48"/>
      <c r="AF48"/>
      <c r="AJ48" s="361"/>
      <c r="AW48" s="361"/>
      <c r="AX48" s="361"/>
    </row>
    <row r="49" spans="27:50" x14ac:dyDescent="0.2">
      <c r="AA49"/>
      <c r="AB49"/>
      <c r="AC49"/>
      <c r="AD49"/>
      <c r="AE49"/>
      <c r="AF49"/>
      <c r="AJ49" s="361"/>
      <c r="AW49" s="361"/>
      <c r="AX49" s="361"/>
    </row>
    <row r="50" spans="27:50" x14ac:dyDescent="0.2">
      <c r="AA50"/>
      <c r="AB50"/>
      <c r="AC50"/>
      <c r="AD50"/>
      <c r="AE50"/>
      <c r="AF50"/>
      <c r="AJ50" s="361"/>
      <c r="AW50" s="361"/>
      <c r="AX50" s="361"/>
    </row>
    <row r="51" spans="27:50" x14ac:dyDescent="0.2">
      <c r="AA51"/>
      <c r="AB51"/>
      <c r="AC51"/>
      <c r="AD51"/>
      <c r="AE51"/>
      <c r="AF51"/>
      <c r="AJ51" s="361"/>
      <c r="AW51" s="361"/>
      <c r="AX51" s="361"/>
    </row>
    <row r="52" spans="27:50" x14ac:dyDescent="0.2">
      <c r="AA52"/>
      <c r="AB52"/>
      <c r="AC52"/>
      <c r="AD52"/>
      <c r="AE52"/>
      <c r="AF52"/>
      <c r="AJ52" s="361"/>
      <c r="AW52" s="361"/>
      <c r="AX52" s="361"/>
    </row>
    <row r="53" spans="27:50" x14ac:dyDescent="0.2">
      <c r="AA53"/>
      <c r="AB53"/>
      <c r="AC53"/>
      <c r="AD53"/>
      <c r="AE53"/>
      <c r="AF53"/>
      <c r="AJ53" s="361"/>
      <c r="AW53" s="361"/>
      <c r="AX53" s="361"/>
    </row>
    <row r="54" spans="27:50" x14ac:dyDescent="0.2">
      <c r="AA54"/>
      <c r="AB54"/>
      <c r="AC54"/>
      <c r="AD54"/>
      <c r="AE54"/>
      <c r="AF54"/>
      <c r="AJ54" s="361"/>
      <c r="AW54" s="361"/>
      <c r="AX54" s="361"/>
    </row>
    <row r="55" spans="27:50" x14ac:dyDescent="0.2">
      <c r="AA55"/>
      <c r="AB55"/>
      <c r="AC55"/>
      <c r="AD55"/>
      <c r="AE55"/>
      <c r="AF55"/>
      <c r="AJ55" s="361"/>
      <c r="AW55" s="361"/>
      <c r="AX55" s="361"/>
    </row>
    <row r="56" spans="27:50" x14ac:dyDescent="0.2">
      <c r="AA56"/>
      <c r="AB56"/>
      <c r="AC56"/>
      <c r="AD56"/>
      <c r="AE56"/>
      <c r="AF56"/>
      <c r="AJ56" s="361"/>
      <c r="AW56" s="361"/>
      <c r="AX56" s="361"/>
    </row>
    <row r="57" spans="27:50" x14ac:dyDescent="0.2">
      <c r="AA57"/>
      <c r="AB57"/>
      <c r="AC57"/>
      <c r="AD57"/>
      <c r="AE57"/>
      <c r="AF57"/>
      <c r="AJ57" s="361"/>
      <c r="AW57" s="361"/>
      <c r="AX57" s="361"/>
    </row>
    <row r="58" spans="27:50" x14ac:dyDescent="0.2">
      <c r="AA58"/>
      <c r="AB58"/>
      <c r="AC58"/>
      <c r="AD58"/>
      <c r="AE58"/>
      <c r="AF58"/>
      <c r="AJ58" s="361"/>
      <c r="AW58" s="361"/>
      <c r="AX58" s="361"/>
    </row>
    <row r="59" spans="27:50" x14ac:dyDescent="0.2">
      <c r="AA59"/>
      <c r="AB59"/>
      <c r="AC59"/>
      <c r="AD59"/>
      <c r="AE59"/>
      <c r="AF59"/>
      <c r="AJ59" s="361"/>
      <c r="AW59" s="361"/>
      <c r="AX59" s="361"/>
    </row>
    <row r="60" spans="27:50" x14ac:dyDescent="0.2">
      <c r="AA60"/>
      <c r="AB60"/>
      <c r="AC60"/>
      <c r="AD60"/>
      <c r="AE60"/>
      <c r="AF60"/>
      <c r="AJ60" s="361"/>
      <c r="AW60" s="361"/>
      <c r="AX60" s="361"/>
    </row>
    <row r="61" spans="27:50" x14ac:dyDescent="0.2">
      <c r="AA61"/>
      <c r="AB61"/>
      <c r="AC61"/>
      <c r="AD61"/>
      <c r="AE61"/>
      <c r="AF61"/>
      <c r="AJ61" s="361"/>
      <c r="AW61" s="361"/>
      <c r="AX61" s="361"/>
    </row>
    <row r="62" spans="27:50" x14ac:dyDescent="0.2">
      <c r="AA62"/>
      <c r="AB62"/>
      <c r="AC62"/>
      <c r="AD62"/>
      <c r="AE62"/>
      <c r="AF62"/>
      <c r="AJ62" s="361"/>
      <c r="AW62" s="361"/>
      <c r="AX62" s="361"/>
    </row>
    <row r="63" spans="27:50" x14ac:dyDescent="0.2">
      <c r="AA63"/>
      <c r="AB63"/>
      <c r="AC63"/>
      <c r="AD63"/>
      <c r="AE63"/>
      <c r="AF63"/>
      <c r="AJ63" s="361"/>
      <c r="AW63" s="361"/>
      <c r="AX63" s="361"/>
    </row>
  </sheetData>
  <mergeCells count="1">
    <mergeCell ref="A8:B8"/>
  </mergeCells>
  <hyperlinks>
    <hyperlink ref="Y6" r:id="rId1" display="https://www.gov.br/anp/pt-br/assuntos/precos-e-defesa-da-concorrencia/precos/precos-de-distribuicao-de-produtos-asfalticos" xr:uid="{11DF3ADC-38AD-4219-A8FF-13EDEB4D5273}"/>
    <hyperlink ref="Y7" r:id="rId2" display="https://www.gov.br/anp/pt-br/assuntos/precos-e-defesa-da-concorrencia/precos/precos-de-produtores-e-importadores-de-derivados-de-petroleo" xr:uid="{992FF84F-BD95-442A-8BD8-D94E643E9AFC}"/>
    <hyperlink ref="X6" r:id="rId3" display="https://www.gov.br/anp/pt-br/assuntos/precos-e-defesa-da-concorrencia/precos/precos-de-distribuicao-de-produtos-asfalticos" xr:uid="{E8DB3492-349B-4B07-B9C9-CCD8F5273B25}"/>
    <hyperlink ref="X7" r:id="rId4" display="https://www.gov.br/anp/pt-br/assuntos/precos-e-defesa-da-concorrencia/precos/precos-de-produtores-e-importadores-de-derivados-de-petroleo" xr:uid="{E67AF4E7-EFA7-428B-8864-F3255A55B970}"/>
  </hyperlinks>
  <pageMargins left="0.511811024" right="0.511811024" top="0.78740157499999996" bottom="0.78740157499999996" header="0.31496062000000002" footer="0.31496062000000002"/>
  <pageSetup paperSize="9" orientation="portrait" verticalDpi="0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371E5-B218-44AD-95CF-3352DE642725}">
  <sheetPr>
    <pageSetUpPr fitToPage="1"/>
  </sheetPr>
  <dimension ref="A1:Z84"/>
  <sheetViews>
    <sheetView showZeros="0" zoomScale="60" zoomScaleNormal="60" workbookViewId="0">
      <selection activeCell="I27" sqref="I27"/>
    </sheetView>
  </sheetViews>
  <sheetFormatPr defaultColWidth="12" defaultRowHeight="11.25" x14ac:dyDescent="0.2"/>
  <cols>
    <col min="1" max="1" width="15.83203125" style="368" bestFit="1" customWidth="1"/>
    <col min="2" max="2" width="15.83203125" style="368" customWidth="1"/>
    <col min="3" max="3" width="59.6640625" style="368" customWidth="1"/>
    <col min="4" max="4" width="3.6640625" style="368" customWidth="1"/>
    <col min="5" max="5" width="15.1640625" style="368" customWidth="1"/>
    <col min="6" max="6" width="15.83203125" style="368" customWidth="1"/>
    <col min="7" max="7" width="12.6640625" style="368" customWidth="1"/>
    <col min="8" max="8" width="17.83203125" style="368" customWidth="1"/>
    <col min="9" max="9" width="12.83203125" style="368" bestFit="1" customWidth="1"/>
    <col min="10" max="10" width="16.1640625" style="368" bestFit="1" customWidth="1"/>
    <col min="11" max="11" width="8.1640625" style="368" customWidth="1"/>
    <col min="12" max="12" width="13.83203125" style="368" customWidth="1"/>
    <col min="13" max="13" width="13.5" style="368" customWidth="1"/>
    <col min="14" max="14" width="25.1640625" style="368" customWidth="1"/>
    <col min="15" max="15" width="21.5" style="368" customWidth="1"/>
    <col min="16" max="16" width="3.83203125" style="368" customWidth="1"/>
    <col min="17" max="17" width="18" style="368" customWidth="1"/>
    <col min="18" max="18" width="15.5" style="368" customWidth="1"/>
    <col min="19" max="19" width="14.6640625" style="368" customWidth="1"/>
    <col min="20" max="20" width="25.1640625" style="368" customWidth="1"/>
    <col min="21" max="23" width="23.1640625" style="368" customWidth="1"/>
    <col min="24" max="24" width="4.6640625" style="368" customWidth="1"/>
    <col min="25" max="25" width="19.5" style="368" customWidth="1"/>
    <col min="26" max="26" width="20.1640625" style="368" customWidth="1"/>
    <col min="27" max="16384" width="12" style="368"/>
  </cols>
  <sheetData>
    <row r="1" spans="1:24" ht="17.100000000000001" customHeight="1" thickBot="1" x14ac:dyDescent="0.3">
      <c r="A1" s="568"/>
      <c r="B1" s="568"/>
      <c r="C1" s="592"/>
      <c r="D1" s="592"/>
      <c r="E1" s="565"/>
      <c r="F1" s="568"/>
      <c r="G1" s="568"/>
      <c r="H1" s="565"/>
      <c r="I1" s="565"/>
      <c r="J1" s="565"/>
      <c r="K1" s="564"/>
      <c r="L1" s="565"/>
      <c r="M1" s="565"/>
      <c r="N1" s="565"/>
      <c r="O1" s="565"/>
      <c r="P1" s="565"/>
      <c r="Q1" s="565"/>
      <c r="R1" s="565"/>
      <c r="S1" s="565"/>
      <c r="T1" s="565"/>
      <c r="U1" s="565"/>
      <c r="V1" s="565"/>
      <c r="W1" s="565"/>
      <c r="X1" s="568"/>
    </row>
    <row r="2" spans="1:24" ht="70.5" customHeight="1" thickBot="1" x14ac:dyDescent="0.3">
      <c r="A2" s="558" t="s">
        <v>77</v>
      </c>
      <c r="B2" s="563"/>
      <c r="C2" s="562" t="s">
        <v>11</v>
      </c>
      <c r="D2" s="561"/>
      <c r="E2" s="591" t="s">
        <v>12</v>
      </c>
      <c r="F2" s="560" t="s">
        <v>13</v>
      </c>
      <c r="G2" s="560" t="s">
        <v>14</v>
      </c>
      <c r="H2" s="559" t="s">
        <v>15</v>
      </c>
      <c r="I2" s="586" t="s">
        <v>369</v>
      </c>
      <c r="J2" s="590" t="s">
        <v>16</v>
      </c>
      <c r="K2" s="586" t="s">
        <v>190</v>
      </c>
      <c r="L2" s="589" t="s">
        <v>17</v>
      </c>
      <c r="M2" s="558" t="s">
        <v>76</v>
      </c>
      <c r="N2" s="558" t="s">
        <v>18</v>
      </c>
      <c r="O2" s="587" t="s">
        <v>19</v>
      </c>
      <c r="P2" s="588" t="s">
        <v>20</v>
      </c>
      <c r="Q2" s="587" t="s">
        <v>21</v>
      </c>
      <c r="R2" s="587" t="s">
        <v>22</v>
      </c>
      <c r="S2" s="587" t="s">
        <v>221</v>
      </c>
      <c r="T2" s="587" t="s">
        <v>23</v>
      </c>
      <c r="U2" s="587" t="s">
        <v>220</v>
      </c>
      <c r="V2" s="587" t="s">
        <v>219</v>
      </c>
      <c r="W2" s="587" t="s">
        <v>24</v>
      </c>
      <c r="X2" s="586" t="s">
        <v>25</v>
      </c>
    </row>
    <row r="3" spans="1:24" ht="16.5" thickBot="1" x14ac:dyDescent="0.3">
      <c r="A3" s="568"/>
      <c r="B3" s="568"/>
      <c r="C3" s="579" t="s">
        <v>26</v>
      </c>
      <c r="D3" s="578"/>
      <c r="E3" s="44">
        <f t="shared" ref="E3:E34" si="0">O3*0.846</f>
        <v>0.87983999999999996</v>
      </c>
      <c r="F3" s="44">
        <f t="shared" ref="F3:F34" si="1">A3*0.27*0.7+M3*0.1+O3*0.0588+P3*0.18+Q3*0.27+R3*0.33+S3*0.344+T3*0.005*0.434</f>
        <v>0.11541040000000001</v>
      </c>
      <c r="G3" s="44">
        <f t="shared" ref="G3:G34" si="2">A3*0.921*0.7+M3*0.51+O3*0.396+P3*1.06+Q3*0.96+R3*0.921+S3*1.02+T3*0.005*1.575</f>
        <v>0.62209000000000003</v>
      </c>
      <c r="H3" s="44">
        <f t="shared" ref="H3:H34" si="3">A3*1.11*0.7+M3*1.5+P3*1.11+Q3*1.11+R3*1.11+S3*1.11</f>
        <v>0.20424000000000003</v>
      </c>
      <c r="I3" s="557"/>
      <c r="J3" s="372">
        <f t="shared" ref="J3:J34" si="4">A3*345.22+M3*265.87+N3*58.84+O3*578+P3*408.95+Q3*455.36+R3*487.71+S3*495.4+T3*449.92*0.005+U3*20.24+V3*17.84+W3*19.49+X3*363.12+K3*449.35+I3*301.65</f>
        <v>1382.6843920000001</v>
      </c>
      <c r="K3" s="557"/>
      <c r="L3" s="44">
        <f t="shared" ref="L3:L34" si="5">O3*0.0282</f>
        <v>2.9328E-2</v>
      </c>
      <c r="M3" s="565"/>
      <c r="N3" s="585">
        <f>ROUND(1.5*1.25/4,2)</f>
        <v>0.47</v>
      </c>
      <c r="O3" s="585">
        <f>ROUND(O4/1.5*1.2,2)</f>
        <v>1.04</v>
      </c>
      <c r="P3" s="585">
        <v>9.4E-2</v>
      </c>
      <c r="Q3" s="568"/>
      <c r="R3" s="585">
        <v>0.09</v>
      </c>
      <c r="S3" s="577"/>
      <c r="T3" s="585">
        <f>ROUND(T4/1.5*1.2,2)</f>
        <v>3.52</v>
      </c>
      <c r="U3" s="577"/>
      <c r="V3" s="577"/>
      <c r="W3" s="585">
        <v>15.42</v>
      </c>
      <c r="X3" s="584">
        <v>1</v>
      </c>
    </row>
    <row r="4" spans="1:24" ht="16.5" thickBot="1" x14ac:dyDescent="0.3">
      <c r="A4" s="568"/>
      <c r="B4" s="568"/>
      <c r="C4" s="579" t="s">
        <v>27</v>
      </c>
      <c r="D4" s="578"/>
      <c r="E4" s="556">
        <f t="shared" si="0"/>
        <v>1.0998000000000001</v>
      </c>
      <c r="F4" s="556">
        <f t="shared" si="1"/>
        <v>0.132608</v>
      </c>
      <c r="G4" s="556">
        <f t="shared" si="2"/>
        <v>0.73198000000000008</v>
      </c>
      <c r="H4" s="556">
        <f t="shared" si="3"/>
        <v>0.20424000000000003</v>
      </c>
      <c r="I4" s="557"/>
      <c r="J4" s="372">
        <f t="shared" si="4"/>
        <v>1534.9440399999999</v>
      </c>
      <c r="K4" s="557"/>
      <c r="L4" s="556">
        <f t="shared" si="5"/>
        <v>3.6659999999999998E-2</v>
      </c>
      <c r="M4" s="565"/>
      <c r="N4" s="577">
        <f>ROUND(1.5*1.25/4,2)</f>
        <v>0.47</v>
      </c>
      <c r="O4" s="583">
        <f>ROUND(0.89*2*0.25*(1.5+0.75)*1.3,2)</f>
        <v>1.3</v>
      </c>
      <c r="P4" s="577">
        <v>9.4E-2</v>
      </c>
      <c r="Q4" s="568"/>
      <c r="R4" s="577">
        <v>0.09</v>
      </c>
      <c r="S4" s="577"/>
      <c r="T4" s="583">
        <v>4.4000000000000004</v>
      </c>
      <c r="U4" s="577"/>
      <c r="V4" s="577"/>
      <c r="W4" s="577">
        <v>15.42</v>
      </c>
      <c r="X4" s="568">
        <v>1</v>
      </c>
    </row>
    <row r="5" spans="1:24" ht="16.5" thickBot="1" x14ac:dyDescent="0.3">
      <c r="A5" s="568"/>
      <c r="B5" s="568"/>
      <c r="C5" s="579" t="s">
        <v>28</v>
      </c>
      <c r="D5" s="578"/>
      <c r="E5" s="556">
        <f t="shared" si="0"/>
        <v>1.4635799999999999</v>
      </c>
      <c r="F5" s="556">
        <f t="shared" si="1"/>
        <v>0.1610819</v>
      </c>
      <c r="G5" s="556">
        <f t="shared" si="2"/>
        <v>0.91383625000000013</v>
      </c>
      <c r="H5" s="556">
        <f t="shared" si="3"/>
        <v>0.20424000000000003</v>
      </c>
      <c r="I5" s="557"/>
      <c r="J5" s="372">
        <f t="shared" si="4"/>
        <v>1786.7909519999998</v>
      </c>
      <c r="K5" s="557"/>
      <c r="L5" s="556">
        <f t="shared" si="5"/>
        <v>4.8785999999999996E-2</v>
      </c>
      <c r="M5" s="565"/>
      <c r="N5" s="577">
        <f>ROUND(1.5*1.25/4,2)</f>
        <v>0.47</v>
      </c>
      <c r="O5" s="577">
        <f>ROUND(O4/1.5*2,2)</f>
        <v>1.73</v>
      </c>
      <c r="P5" s="577">
        <v>9.4E-2</v>
      </c>
      <c r="Q5" s="568"/>
      <c r="R5" s="577">
        <v>0.09</v>
      </c>
      <c r="S5" s="577"/>
      <c r="T5" s="577">
        <f>ROUND(T4/1.5*2,2)</f>
        <v>5.87</v>
      </c>
      <c r="U5" s="577"/>
      <c r="V5" s="577"/>
      <c r="W5" s="577">
        <v>15.42</v>
      </c>
      <c r="X5" s="568">
        <v>1</v>
      </c>
    </row>
    <row r="6" spans="1:24" ht="16.5" thickBot="1" x14ac:dyDescent="0.3">
      <c r="A6" s="568"/>
      <c r="B6" s="568"/>
      <c r="C6" s="579" t="s">
        <v>29</v>
      </c>
      <c r="D6" s="578"/>
      <c r="E6" s="556">
        <f t="shared" si="0"/>
        <v>1.8358199999999998</v>
      </c>
      <c r="F6" s="556">
        <f t="shared" si="1"/>
        <v>0.19012209999999999</v>
      </c>
      <c r="G6" s="556">
        <f t="shared" si="2"/>
        <v>1.09957375</v>
      </c>
      <c r="H6" s="556">
        <f t="shared" si="3"/>
        <v>0.20424000000000003</v>
      </c>
      <c r="I6" s="557"/>
      <c r="J6" s="372">
        <f t="shared" si="4"/>
        <v>2044.395368</v>
      </c>
      <c r="K6" s="557"/>
      <c r="L6" s="556">
        <f t="shared" si="5"/>
        <v>6.1193999999999998E-2</v>
      </c>
      <c r="M6" s="565"/>
      <c r="N6" s="577">
        <f>ROUND(1.5*1.25/4,2)</f>
        <v>0.47</v>
      </c>
      <c r="O6" s="577">
        <f>ROUND(O4/1.5*2.5,2)</f>
        <v>2.17</v>
      </c>
      <c r="P6" s="577">
        <v>9.4E-2</v>
      </c>
      <c r="Q6" s="568"/>
      <c r="R6" s="577">
        <v>0.09</v>
      </c>
      <c r="S6" s="577"/>
      <c r="T6" s="577">
        <f>ROUND(T4/1.5*2.5,2)</f>
        <v>7.33</v>
      </c>
      <c r="U6" s="577"/>
      <c r="V6" s="577"/>
      <c r="W6" s="577">
        <v>15.42</v>
      </c>
      <c r="X6" s="568">
        <v>1</v>
      </c>
    </row>
    <row r="7" spans="1:24" ht="16.5" thickBot="1" x14ac:dyDescent="0.3">
      <c r="A7" s="568"/>
      <c r="B7" s="568"/>
      <c r="C7" s="579" t="s">
        <v>115</v>
      </c>
      <c r="D7" s="578"/>
      <c r="E7" s="556">
        <f t="shared" si="0"/>
        <v>0</v>
      </c>
      <c r="F7" s="556">
        <f t="shared" si="1"/>
        <v>0.43266000000000004</v>
      </c>
      <c r="G7" s="556">
        <f t="shared" si="2"/>
        <v>1.26997</v>
      </c>
      <c r="H7" s="556">
        <f t="shared" si="3"/>
        <v>1.5118200000000002</v>
      </c>
      <c r="I7" s="557"/>
      <c r="J7" s="372">
        <f t="shared" si="4"/>
        <v>1094.7577000000001</v>
      </c>
      <c r="K7" s="557"/>
      <c r="L7" s="556">
        <f t="shared" si="5"/>
        <v>0</v>
      </c>
      <c r="M7" s="565"/>
      <c r="N7" s="577">
        <f>N11/2</f>
        <v>1.2949999999999999</v>
      </c>
      <c r="O7" s="577"/>
      <c r="P7" s="577">
        <v>0.112</v>
      </c>
      <c r="Q7" s="568"/>
      <c r="R7" s="577">
        <f>ROUND(1.58/1.45*1.15,2)</f>
        <v>1.25</v>
      </c>
      <c r="S7" s="577"/>
      <c r="T7" s="577"/>
      <c r="U7" s="577"/>
      <c r="V7" s="577"/>
      <c r="W7" s="577"/>
      <c r="X7" s="568">
        <v>1</v>
      </c>
    </row>
    <row r="8" spans="1:24" ht="16.5" thickBot="1" x14ac:dyDescent="0.3">
      <c r="A8" s="568"/>
      <c r="B8" s="568"/>
      <c r="C8" s="579" t="s">
        <v>116</v>
      </c>
      <c r="D8" s="578"/>
      <c r="E8" s="556">
        <f t="shared" si="0"/>
        <v>0</v>
      </c>
      <c r="F8" s="556">
        <f t="shared" si="1"/>
        <v>0.54156000000000004</v>
      </c>
      <c r="G8" s="556">
        <f t="shared" si="2"/>
        <v>1.5739000000000001</v>
      </c>
      <c r="H8" s="556">
        <f t="shared" si="3"/>
        <v>1.8781200000000002</v>
      </c>
      <c r="I8" s="557"/>
      <c r="J8" s="372">
        <f t="shared" si="4"/>
        <v>1275.7076000000002</v>
      </c>
      <c r="K8" s="557"/>
      <c r="L8" s="556">
        <f t="shared" si="5"/>
        <v>0</v>
      </c>
      <c r="M8" s="565"/>
      <c r="N8" s="577">
        <f>N12/2</f>
        <v>1.635</v>
      </c>
      <c r="O8" s="577"/>
      <c r="P8" s="577">
        <v>0.112</v>
      </c>
      <c r="Q8" s="568"/>
      <c r="R8" s="577">
        <v>1.58</v>
      </c>
      <c r="S8" s="577"/>
      <c r="T8" s="577"/>
      <c r="U8" s="577"/>
      <c r="V8" s="577"/>
      <c r="W8" s="577"/>
      <c r="X8" s="568">
        <v>1</v>
      </c>
    </row>
    <row r="9" spans="1:24" ht="16.5" thickBot="1" x14ac:dyDescent="0.3">
      <c r="A9" s="568"/>
      <c r="B9" s="568"/>
      <c r="C9" s="579" t="s">
        <v>117</v>
      </c>
      <c r="D9" s="578"/>
      <c r="E9" s="556">
        <f t="shared" si="0"/>
        <v>0</v>
      </c>
      <c r="F9" s="556">
        <f t="shared" si="1"/>
        <v>0.71976000000000007</v>
      </c>
      <c r="G9" s="556">
        <f t="shared" si="2"/>
        <v>2.0712400000000004</v>
      </c>
      <c r="H9" s="556">
        <f t="shared" si="3"/>
        <v>2.4775200000000002</v>
      </c>
      <c r="I9" s="557"/>
      <c r="J9" s="372">
        <f t="shared" si="4"/>
        <v>1572.3155999999999</v>
      </c>
      <c r="K9" s="557"/>
      <c r="L9" s="556">
        <f t="shared" si="5"/>
        <v>0</v>
      </c>
      <c r="M9" s="565"/>
      <c r="N9" s="577">
        <f>N13/2</f>
        <v>2.2000000000000002</v>
      </c>
      <c r="O9" s="577"/>
      <c r="P9" s="577">
        <v>0.112</v>
      </c>
      <c r="Q9" s="568"/>
      <c r="R9" s="577">
        <f>ROUND(1.58/1.45*1.95,2)</f>
        <v>2.12</v>
      </c>
      <c r="S9" s="577"/>
      <c r="T9" s="577"/>
      <c r="U9" s="577"/>
      <c r="V9" s="577"/>
      <c r="W9" s="577"/>
      <c r="X9" s="568">
        <v>1</v>
      </c>
    </row>
    <row r="10" spans="1:24" ht="16.5" thickBot="1" x14ac:dyDescent="0.3">
      <c r="A10" s="568"/>
      <c r="B10" s="568"/>
      <c r="C10" s="579" t="s">
        <v>118</v>
      </c>
      <c r="D10" s="578"/>
      <c r="E10" s="556">
        <f t="shared" si="0"/>
        <v>0</v>
      </c>
      <c r="F10" s="556">
        <f t="shared" si="1"/>
        <v>0.90125999999999995</v>
      </c>
      <c r="G10" s="556">
        <f t="shared" si="2"/>
        <v>2.5777900000000002</v>
      </c>
      <c r="H10" s="556">
        <f t="shared" si="3"/>
        <v>3.0880200000000002</v>
      </c>
      <c r="I10" s="557"/>
      <c r="J10" s="372">
        <f t="shared" si="4"/>
        <v>1873.8007000000002</v>
      </c>
      <c r="K10" s="557"/>
      <c r="L10" s="556">
        <f t="shared" si="5"/>
        <v>0</v>
      </c>
      <c r="M10" s="565"/>
      <c r="N10" s="577">
        <f>N14/2</f>
        <v>2.7650000000000001</v>
      </c>
      <c r="O10" s="577"/>
      <c r="P10" s="577">
        <v>0.112</v>
      </c>
      <c r="Q10" s="568"/>
      <c r="R10" s="577">
        <f>ROUND(1.58/1.45*2.45,2)</f>
        <v>2.67</v>
      </c>
      <c r="S10" s="577"/>
      <c r="T10" s="577"/>
      <c r="U10" s="577"/>
      <c r="V10" s="577"/>
      <c r="W10" s="577"/>
      <c r="X10" s="568">
        <v>1</v>
      </c>
    </row>
    <row r="11" spans="1:24" ht="16.5" thickBot="1" x14ac:dyDescent="0.3">
      <c r="A11" s="568"/>
      <c r="B11" s="568"/>
      <c r="C11" s="579" t="s">
        <v>50</v>
      </c>
      <c r="D11" s="578"/>
      <c r="E11" s="556">
        <f t="shared" si="0"/>
        <v>0</v>
      </c>
      <c r="F11" s="556">
        <f t="shared" si="1"/>
        <v>0.20478000000000002</v>
      </c>
      <c r="G11" s="556">
        <f t="shared" si="2"/>
        <v>0.60275000000000001</v>
      </c>
      <c r="H11" s="556">
        <f t="shared" si="3"/>
        <v>0.71706000000000003</v>
      </c>
      <c r="I11" s="557"/>
      <c r="J11" s="372">
        <f t="shared" si="4"/>
        <v>1829.9006999999997</v>
      </c>
      <c r="K11" s="557"/>
      <c r="L11" s="556">
        <f t="shared" si="5"/>
        <v>0</v>
      </c>
      <c r="M11" s="565"/>
      <c r="N11" s="577">
        <f>ROUND(N12/1.45*1.15,2)</f>
        <v>2.59</v>
      </c>
      <c r="O11" s="577"/>
      <c r="P11" s="577">
        <f>0.112/2</f>
        <v>5.6000000000000001E-2</v>
      </c>
      <c r="Q11" s="568"/>
      <c r="R11" s="577">
        <f>ROUND(R12/1.45*1.15,2)</f>
        <v>0.59</v>
      </c>
      <c r="S11" s="577"/>
      <c r="T11" s="577"/>
      <c r="U11" s="577"/>
      <c r="V11" s="577"/>
      <c r="W11" s="577">
        <f>ROUND(W12/1.45*1.15,2)</f>
        <v>51.5</v>
      </c>
      <c r="X11" s="568">
        <v>1</v>
      </c>
    </row>
    <row r="12" spans="1:24" ht="16.5" thickBot="1" x14ac:dyDescent="0.3">
      <c r="A12" s="568"/>
      <c r="B12" s="568"/>
      <c r="C12" s="579" t="s">
        <v>47</v>
      </c>
      <c r="D12" s="578"/>
      <c r="E12" s="556">
        <f t="shared" si="0"/>
        <v>0</v>
      </c>
      <c r="F12" s="556">
        <f t="shared" si="1"/>
        <v>0.25757999999999998</v>
      </c>
      <c r="G12" s="556">
        <f t="shared" si="2"/>
        <v>0.75010999999999994</v>
      </c>
      <c r="H12" s="556">
        <f t="shared" si="3"/>
        <v>0.89466000000000001</v>
      </c>
      <c r="I12" s="557"/>
      <c r="J12" s="372">
        <f t="shared" si="4"/>
        <v>2209.8910999999998</v>
      </c>
      <c r="K12" s="557"/>
      <c r="L12" s="556">
        <f t="shared" si="5"/>
        <v>0</v>
      </c>
      <c r="M12" s="565"/>
      <c r="N12" s="583">
        <f>ROUND(9.8/3,2)</f>
        <v>3.27</v>
      </c>
      <c r="O12" s="577"/>
      <c r="P12" s="577">
        <f>0.112/2</f>
        <v>5.6000000000000001E-2</v>
      </c>
      <c r="Q12" s="568"/>
      <c r="R12" s="583">
        <v>0.75</v>
      </c>
      <c r="S12" s="583"/>
      <c r="T12" s="577"/>
      <c r="U12" s="583"/>
      <c r="V12" s="583"/>
      <c r="W12" s="583">
        <v>64.94</v>
      </c>
      <c r="X12" s="568">
        <v>1</v>
      </c>
    </row>
    <row r="13" spans="1:24" ht="16.5" thickBot="1" x14ac:dyDescent="0.3">
      <c r="A13" s="568"/>
      <c r="B13" s="568"/>
      <c r="C13" s="579" t="s">
        <v>48</v>
      </c>
      <c r="D13" s="578"/>
      <c r="E13" s="556">
        <f t="shared" si="0"/>
        <v>0</v>
      </c>
      <c r="F13" s="556">
        <f t="shared" si="1"/>
        <v>0.34338000000000002</v>
      </c>
      <c r="G13" s="556">
        <f t="shared" si="2"/>
        <v>0.98957000000000006</v>
      </c>
      <c r="H13" s="556">
        <f t="shared" si="3"/>
        <v>1.1832600000000002</v>
      </c>
      <c r="I13" s="557"/>
      <c r="J13" s="372">
        <f t="shared" si="4"/>
        <v>2403.1848999999997</v>
      </c>
      <c r="K13" s="557"/>
      <c r="L13" s="556">
        <f t="shared" si="5"/>
        <v>0</v>
      </c>
      <c r="M13" s="565"/>
      <c r="N13" s="577">
        <f>ROUND(N12/1.45*1.95,2)</f>
        <v>4.4000000000000004</v>
      </c>
      <c r="O13" s="577"/>
      <c r="P13" s="577">
        <f>0.112/2</f>
        <v>5.6000000000000001E-2</v>
      </c>
      <c r="Q13" s="568"/>
      <c r="R13" s="577">
        <f>ROUND(R12/1.45*1.95,2)</f>
        <v>1.01</v>
      </c>
      <c r="S13" s="577"/>
      <c r="T13" s="577"/>
      <c r="U13" s="577"/>
      <c r="V13" s="577"/>
      <c r="W13" s="577">
        <f>ROUND(W12/1.95*1.95,2)</f>
        <v>64.94</v>
      </c>
      <c r="X13" s="568">
        <v>1</v>
      </c>
    </row>
    <row r="14" spans="1:24" ht="16.5" thickBot="1" x14ac:dyDescent="0.3">
      <c r="A14" s="568"/>
      <c r="B14" s="568"/>
      <c r="C14" s="579" t="s">
        <v>49</v>
      </c>
      <c r="D14" s="578"/>
      <c r="E14" s="556">
        <f t="shared" si="0"/>
        <v>0</v>
      </c>
      <c r="F14" s="556">
        <f t="shared" si="1"/>
        <v>0.42918000000000001</v>
      </c>
      <c r="G14" s="556">
        <f t="shared" si="2"/>
        <v>1.2290300000000001</v>
      </c>
      <c r="H14" s="556">
        <f t="shared" si="3"/>
        <v>1.4718600000000002</v>
      </c>
      <c r="I14" s="557"/>
      <c r="J14" s="372">
        <f t="shared" si="4"/>
        <v>2920.9871999999996</v>
      </c>
      <c r="K14" s="557"/>
      <c r="L14" s="556">
        <f t="shared" si="5"/>
        <v>0</v>
      </c>
      <c r="M14" s="565"/>
      <c r="N14" s="577">
        <f>ROUND(N12/1.45*2.45,2)</f>
        <v>5.53</v>
      </c>
      <c r="O14" s="577"/>
      <c r="P14" s="577">
        <f>0.112/2</f>
        <v>5.6000000000000001E-2</v>
      </c>
      <c r="Q14" s="568"/>
      <c r="R14" s="577">
        <f>ROUND(R12/1.45*2.45,2)</f>
        <v>1.27</v>
      </c>
      <c r="S14" s="577"/>
      <c r="T14" s="577"/>
      <c r="U14" s="577"/>
      <c r="V14" s="577"/>
      <c r="W14" s="577">
        <f>ROUND(W12/1.95*2.45,2)</f>
        <v>81.59</v>
      </c>
      <c r="X14" s="568">
        <v>1</v>
      </c>
    </row>
    <row r="15" spans="1:24" ht="16.5" thickBot="1" x14ac:dyDescent="0.3">
      <c r="A15" s="568"/>
      <c r="B15" s="568"/>
      <c r="C15" s="579" t="s">
        <v>43</v>
      </c>
      <c r="D15" s="578"/>
      <c r="E15" s="556">
        <f t="shared" si="0"/>
        <v>1.6716959999999998</v>
      </c>
      <c r="F15" s="556">
        <f t="shared" si="1"/>
        <v>0.2047668</v>
      </c>
      <c r="G15" s="556">
        <f t="shared" si="2"/>
        <v>1.1293030000000002</v>
      </c>
      <c r="H15" s="556">
        <f t="shared" si="3"/>
        <v>0.38805600000000001</v>
      </c>
      <c r="I15" s="557"/>
      <c r="J15" s="372">
        <f t="shared" si="4"/>
        <v>2648.3670199999997</v>
      </c>
      <c r="K15" s="557"/>
      <c r="L15" s="556">
        <f t="shared" si="5"/>
        <v>5.5723200000000001E-2</v>
      </c>
      <c r="M15" s="565"/>
      <c r="N15" s="577">
        <f t="shared" ref="N15:P18" si="6">N3*1.9</f>
        <v>0.8929999999999999</v>
      </c>
      <c r="O15" s="577">
        <f t="shared" si="6"/>
        <v>1.976</v>
      </c>
      <c r="P15" s="577">
        <f t="shared" si="6"/>
        <v>0.17859999999999998</v>
      </c>
      <c r="Q15" s="568"/>
      <c r="R15" s="577">
        <f>R3*1.9</f>
        <v>0.17099999999999999</v>
      </c>
      <c r="S15" s="577"/>
      <c r="T15" s="577"/>
      <c r="U15" s="577"/>
      <c r="V15" s="577"/>
      <c r="W15" s="577">
        <f>W3*1.9</f>
        <v>29.297999999999998</v>
      </c>
      <c r="X15" s="568">
        <v>2</v>
      </c>
    </row>
    <row r="16" spans="1:24" ht="16.5" thickBot="1" x14ac:dyDescent="0.3">
      <c r="A16" s="568"/>
      <c r="B16" s="568"/>
      <c r="C16" s="579" t="s">
        <v>44</v>
      </c>
      <c r="D16" s="578"/>
      <c r="E16" s="556">
        <f t="shared" si="0"/>
        <v>2.0896199999999996</v>
      </c>
      <c r="F16" s="556">
        <f t="shared" si="1"/>
        <v>0.23381399999999999</v>
      </c>
      <c r="G16" s="556">
        <f t="shared" si="2"/>
        <v>1.324927</v>
      </c>
      <c r="H16" s="556">
        <f t="shared" si="3"/>
        <v>0.38805600000000001</v>
      </c>
      <c r="I16" s="557"/>
      <c r="J16" s="372">
        <f t="shared" si="4"/>
        <v>2933.8990199999998</v>
      </c>
      <c r="K16" s="557"/>
      <c r="L16" s="556">
        <f t="shared" si="5"/>
        <v>6.9653999999999994E-2</v>
      </c>
      <c r="M16" s="565"/>
      <c r="N16" s="577">
        <f t="shared" si="6"/>
        <v>0.8929999999999999</v>
      </c>
      <c r="O16" s="577">
        <f t="shared" si="6"/>
        <v>2.4699999999999998</v>
      </c>
      <c r="P16" s="577">
        <f t="shared" si="6"/>
        <v>0.17859999999999998</v>
      </c>
      <c r="Q16" s="568"/>
      <c r="R16" s="577">
        <f>R4*1.9</f>
        <v>0.17099999999999999</v>
      </c>
      <c r="S16" s="577"/>
      <c r="T16" s="577"/>
      <c r="U16" s="577"/>
      <c r="V16" s="577"/>
      <c r="W16" s="577">
        <f>W4*1.9</f>
        <v>29.297999999999998</v>
      </c>
      <c r="X16" s="568">
        <v>2</v>
      </c>
    </row>
    <row r="17" spans="1:26" ht="16.5" thickBot="1" x14ac:dyDescent="0.3">
      <c r="A17" s="568"/>
      <c r="B17" s="568"/>
      <c r="C17" s="579" t="s">
        <v>45</v>
      </c>
      <c r="D17" s="578"/>
      <c r="E17" s="556">
        <f t="shared" si="0"/>
        <v>2.780802</v>
      </c>
      <c r="F17" s="556">
        <f t="shared" si="1"/>
        <v>0.28185359999999998</v>
      </c>
      <c r="G17" s="556">
        <f t="shared" si="2"/>
        <v>1.6484590000000001</v>
      </c>
      <c r="H17" s="556">
        <f t="shared" si="3"/>
        <v>0.38805600000000001</v>
      </c>
      <c r="I17" s="557"/>
      <c r="J17" s="372">
        <f t="shared" si="4"/>
        <v>3406.1250199999995</v>
      </c>
      <c r="K17" s="557"/>
      <c r="L17" s="556">
        <f t="shared" si="5"/>
        <v>9.2693399999999995E-2</v>
      </c>
      <c r="M17" s="565"/>
      <c r="N17" s="577">
        <f t="shared" si="6"/>
        <v>0.8929999999999999</v>
      </c>
      <c r="O17" s="577">
        <f t="shared" si="6"/>
        <v>3.2869999999999999</v>
      </c>
      <c r="P17" s="577">
        <f t="shared" si="6"/>
        <v>0.17859999999999998</v>
      </c>
      <c r="Q17" s="568"/>
      <c r="R17" s="577">
        <f>R5*1.9</f>
        <v>0.17099999999999999</v>
      </c>
      <c r="S17" s="577"/>
      <c r="T17" s="577"/>
      <c r="U17" s="577"/>
      <c r="V17" s="577"/>
      <c r="W17" s="577">
        <f>W5*1.9</f>
        <v>29.297999999999998</v>
      </c>
      <c r="X17" s="568">
        <v>2</v>
      </c>
    </row>
    <row r="18" spans="1:26" ht="16.5" thickBot="1" x14ac:dyDescent="0.3">
      <c r="A18" s="568"/>
      <c r="B18" s="568"/>
      <c r="C18" s="579" t="s">
        <v>46</v>
      </c>
      <c r="D18" s="578"/>
      <c r="E18" s="556">
        <f t="shared" si="0"/>
        <v>3.4880579999999992</v>
      </c>
      <c r="F18" s="556">
        <f t="shared" si="1"/>
        <v>0.33101039999999993</v>
      </c>
      <c r="G18" s="556">
        <f t="shared" si="2"/>
        <v>1.9795149999999999</v>
      </c>
      <c r="H18" s="556">
        <f t="shared" si="3"/>
        <v>0.38805600000000001</v>
      </c>
      <c r="I18" s="557"/>
      <c r="J18" s="372">
        <f t="shared" si="4"/>
        <v>3889.3330199999991</v>
      </c>
      <c r="K18" s="557"/>
      <c r="L18" s="556">
        <f t="shared" si="5"/>
        <v>0.11626859999999997</v>
      </c>
      <c r="M18" s="565"/>
      <c r="N18" s="577">
        <f t="shared" si="6"/>
        <v>0.8929999999999999</v>
      </c>
      <c r="O18" s="577">
        <f t="shared" si="6"/>
        <v>4.1229999999999993</v>
      </c>
      <c r="P18" s="577">
        <f t="shared" si="6"/>
        <v>0.17859999999999998</v>
      </c>
      <c r="Q18" s="568"/>
      <c r="R18" s="577">
        <f>R6*1.9</f>
        <v>0.17099999999999999</v>
      </c>
      <c r="S18" s="577"/>
      <c r="T18" s="577"/>
      <c r="U18" s="577"/>
      <c r="V18" s="577"/>
      <c r="W18" s="577">
        <f>W6*1.9</f>
        <v>29.297999999999998</v>
      </c>
      <c r="X18" s="568">
        <v>2</v>
      </c>
    </row>
    <row r="19" spans="1:26" ht="16.5" thickBot="1" x14ac:dyDescent="0.3">
      <c r="A19" s="568"/>
      <c r="B19" s="568"/>
      <c r="C19" s="579" t="s">
        <v>119</v>
      </c>
      <c r="D19" s="578"/>
      <c r="E19" s="556">
        <f t="shared" si="0"/>
        <v>0</v>
      </c>
      <c r="F19" s="556">
        <f t="shared" si="1"/>
        <v>0.82205400000000006</v>
      </c>
      <c r="G19" s="556">
        <f t="shared" si="2"/>
        <v>2.4129430000000003</v>
      </c>
      <c r="H19" s="556">
        <f t="shared" si="3"/>
        <v>2.8724580000000004</v>
      </c>
      <c r="I19" s="557"/>
      <c r="J19" s="372">
        <f t="shared" si="4"/>
        <v>2116.3516300000001</v>
      </c>
      <c r="K19" s="557"/>
      <c r="L19" s="556">
        <f t="shared" si="5"/>
        <v>0</v>
      </c>
      <c r="M19" s="565"/>
      <c r="N19" s="577">
        <f t="shared" ref="N19:N26" si="7">1.9*N7</f>
        <v>2.4604999999999997</v>
      </c>
      <c r="O19" s="577"/>
      <c r="P19" s="577">
        <f t="shared" ref="P19:P26" si="8">1.9*P7</f>
        <v>0.21279999999999999</v>
      </c>
      <c r="Q19" s="568"/>
      <c r="R19" s="577">
        <f t="shared" ref="R19:R26" si="9">1.9*R7</f>
        <v>2.375</v>
      </c>
      <c r="S19" s="577"/>
      <c r="T19" s="577"/>
      <c r="U19" s="577"/>
      <c r="V19" s="577"/>
      <c r="W19" s="577"/>
      <c r="X19" s="568">
        <v>2</v>
      </c>
    </row>
    <row r="20" spans="1:26" ht="16.5" thickBot="1" x14ac:dyDescent="0.3">
      <c r="A20" s="568"/>
      <c r="B20" s="568"/>
      <c r="C20" s="579" t="s">
        <v>120</v>
      </c>
      <c r="D20" s="578"/>
      <c r="E20" s="556">
        <f t="shared" si="0"/>
        <v>0</v>
      </c>
      <c r="F20" s="556">
        <f t="shared" si="1"/>
        <v>1.028964</v>
      </c>
      <c r="G20" s="556">
        <f t="shared" si="2"/>
        <v>2.9904099999999998</v>
      </c>
      <c r="H20" s="556">
        <f t="shared" si="3"/>
        <v>3.5684279999999999</v>
      </c>
      <c r="I20" s="557"/>
      <c r="J20" s="372">
        <f t="shared" si="4"/>
        <v>2460.1564399999997</v>
      </c>
      <c r="K20" s="557"/>
      <c r="L20" s="556">
        <f t="shared" si="5"/>
        <v>0</v>
      </c>
      <c r="M20" s="565"/>
      <c r="N20" s="577">
        <f t="shared" si="7"/>
        <v>3.1065</v>
      </c>
      <c r="O20" s="577"/>
      <c r="P20" s="577">
        <f t="shared" si="8"/>
        <v>0.21279999999999999</v>
      </c>
      <c r="Q20" s="568"/>
      <c r="R20" s="577">
        <f t="shared" si="9"/>
        <v>3.0019999999999998</v>
      </c>
      <c r="S20" s="577"/>
      <c r="T20" s="577"/>
      <c r="U20" s="577"/>
      <c r="V20" s="577"/>
      <c r="W20" s="577"/>
      <c r="X20" s="568">
        <v>2</v>
      </c>
    </row>
    <row r="21" spans="1:26" ht="16.5" thickBot="1" x14ac:dyDescent="0.3">
      <c r="A21" s="568"/>
      <c r="B21" s="568"/>
      <c r="C21" s="579" t="s">
        <v>121</v>
      </c>
      <c r="D21" s="578"/>
      <c r="E21" s="556">
        <f t="shared" si="0"/>
        <v>0</v>
      </c>
      <c r="F21" s="556">
        <f t="shared" si="1"/>
        <v>1.3675439999999999</v>
      </c>
      <c r="G21" s="556">
        <f t="shared" si="2"/>
        <v>3.9353559999999996</v>
      </c>
      <c r="H21" s="556">
        <f t="shared" si="3"/>
        <v>4.7072880000000001</v>
      </c>
      <c r="I21" s="557"/>
      <c r="J21" s="372">
        <f t="shared" si="4"/>
        <v>3023.7116399999995</v>
      </c>
      <c r="K21" s="557"/>
      <c r="L21" s="556">
        <f t="shared" si="5"/>
        <v>0</v>
      </c>
      <c r="M21" s="565"/>
      <c r="N21" s="577">
        <f t="shared" si="7"/>
        <v>4.18</v>
      </c>
      <c r="O21" s="577"/>
      <c r="P21" s="577">
        <f t="shared" si="8"/>
        <v>0.21279999999999999</v>
      </c>
      <c r="Q21" s="568"/>
      <c r="R21" s="577">
        <f t="shared" si="9"/>
        <v>4.0279999999999996</v>
      </c>
      <c r="S21" s="577"/>
      <c r="T21" s="577"/>
      <c r="U21" s="577"/>
      <c r="V21" s="577"/>
      <c r="W21" s="577"/>
      <c r="X21" s="568">
        <v>2</v>
      </c>
    </row>
    <row r="22" spans="1:26" ht="16.5" thickBot="1" x14ac:dyDescent="0.3">
      <c r="A22" s="568"/>
      <c r="B22" s="568"/>
      <c r="C22" s="579" t="s">
        <v>122</v>
      </c>
      <c r="D22" s="578"/>
      <c r="E22" s="556">
        <f t="shared" si="0"/>
        <v>0</v>
      </c>
      <c r="F22" s="556">
        <f t="shared" si="1"/>
        <v>1.7123939999999997</v>
      </c>
      <c r="G22" s="556">
        <f t="shared" si="2"/>
        <v>4.8978009999999994</v>
      </c>
      <c r="H22" s="556">
        <f t="shared" si="3"/>
        <v>5.8672380000000004</v>
      </c>
      <c r="I22" s="557"/>
      <c r="J22" s="372">
        <f t="shared" si="4"/>
        <v>3596.5333299999993</v>
      </c>
      <c r="K22" s="557"/>
      <c r="L22" s="556">
        <f t="shared" si="5"/>
        <v>0</v>
      </c>
      <c r="M22" s="565"/>
      <c r="N22" s="577">
        <f t="shared" si="7"/>
        <v>5.2534999999999998</v>
      </c>
      <c r="O22" s="577"/>
      <c r="P22" s="577">
        <f t="shared" si="8"/>
        <v>0.21279999999999999</v>
      </c>
      <c r="Q22" s="568"/>
      <c r="R22" s="577">
        <f t="shared" si="9"/>
        <v>5.0729999999999995</v>
      </c>
      <c r="S22" s="577"/>
      <c r="T22" s="577"/>
      <c r="U22" s="577"/>
      <c r="V22" s="577"/>
      <c r="W22" s="577"/>
      <c r="X22" s="568">
        <v>2</v>
      </c>
    </row>
    <row r="23" spans="1:26" ht="16.5" thickBot="1" x14ac:dyDescent="0.3">
      <c r="A23" s="568"/>
      <c r="B23" s="568"/>
      <c r="C23" s="579" t="s">
        <v>54</v>
      </c>
      <c r="D23" s="578"/>
      <c r="E23" s="556">
        <f t="shared" si="0"/>
        <v>0</v>
      </c>
      <c r="F23" s="556">
        <f t="shared" si="1"/>
        <v>0.38908200000000004</v>
      </c>
      <c r="G23" s="556">
        <f t="shared" si="2"/>
        <v>1.1452249999999999</v>
      </c>
      <c r="H23" s="556">
        <f t="shared" si="3"/>
        <v>1.362414</v>
      </c>
      <c r="I23" s="557"/>
      <c r="J23" s="372">
        <f t="shared" si="4"/>
        <v>3513.1233299999994</v>
      </c>
      <c r="K23" s="557"/>
      <c r="L23" s="556">
        <f t="shared" si="5"/>
        <v>0</v>
      </c>
      <c r="M23" s="565"/>
      <c r="N23" s="577">
        <f t="shared" si="7"/>
        <v>4.9209999999999994</v>
      </c>
      <c r="O23" s="577"/>
      <c r="P23" s="577">
        <f t="shared" si="8"/>
        <v>0.10639999999999999</v>
      </c>
      <c r="Q23" s="568"/>
      <c r="R23" s="577">
        <f t="shared" si="9"/>
        <v>1.121</v>
      </c>
      <c r="S23" s="577"/>
      <c r="T23" s="577"/>
      <c r="U23" s="577"/>
      <c r="V23" s="577"/>
      <c r="W23" s="577">
        <f>1.9*W11</f>
        <v>97.85</v>
      </c>
      <c r="X23" s="568">
        <v>2</v>
      </c>
    </row>
    <row r="24" spans="1:26" ht="16.5" thickBot="1" x14ac:dyDescent="0.3">
      <c r="A24" s="568"/>
      <c r="B24" s="568"/>
      <c r="C24" s="579" t="s">
        <v>51</v>
      </c>
      <c r="D24" s="578"/>
      <c r="E24" s="556">
        <f t="shared" si="0"/>
        <v>0</v>
      </c>
      <c r="F24" s="556">
        <f t="shared" si="1"/>
        <v>0.48940199999999995</v>
      </c>
      <c r="G24" s="556">
        <f t="shared" si="2"/>
        <v>1.4252089999999999</v>
      </c>
      <c r="H24" s="556">
        <f t="shared" si="3"/>
        <v>1.699854</v>
      </c>
      <c r="I24" s="557"/>
      <c r="J24" s="372">
        <f t="shared" si="4"/>
        <v>4235.10509</v>
      </c>
      <c r="K24" s="557"/>
      <c r="L24" s="556">
        <f t="shared" si="5"/>
        <v>0</v>
      </c>
      <c r="M24" s="565"/>
      <c r="N24" s="577">
        <f t="shared" si="7"/>
        <v>6.2130000000000001</v>
      </c>
      <c r="O24" s="577"/>
      <c r="P24" s="577">
        <f t="shared" si="8"/>
        <v>0.10639999999999999</v>
      </c>
      <c r="Q24" s="568"/>
      <c r="R24" s="577">
        <f t="shared" si="9"/>
        <v>1.4249999999999998</v>
      </c>
      <c r="S24" s="577"/>
      <c r="T24" s="577"/>
      <c r="U24" s="577"/>
      <c r="V24" s="577"/>
      <c r="W24" s="577">
        <f>1.9*W12</f>
        <v>123.386</v>
      </c>
      <c r="X24" s="568">
        <v>2</v>
      </c>
    </row>
    <row r="25" spans="1:26" ht="16.5" thickBot="1" x14ac:dyDescent="0.3">
      <c r="A25" s="568"/>
      <c r="B25" s="568"/>
      <c r="C25" s="579" t="s">
        <v>52</v>
      </c>
      <c r="D25" s="578"/>
      <c r="E25" s="556">
        <f t="shared" si="0"/>
        <v>0</v>
      </c>
      <c r="F25" s="556">
        <f t="shared" si="1"/>
        <v>0.65242199999999995</v>
      </c>
      <c r="G25" s="556">
        <f t="shared" si="2"/>
        <v>1.8801829999999999</v>
      </c>
      <c r="H25" s="556">
        <f t="shared" si="3"/>
        <v>2.2481940000000002</v>
      </c>
      <c r="I25" s="557"/>
      <c r="J25" s="372">
        <f t="shared" si="4"/>
        <v>4602.3633099999997</v>
      </c>
      <c r="K25" s="557"/>
      <c r="L25" s="556">
        <f t="shared" si="5"/>
        <v>0</v>
      </c>
      <c r="M25" s="565"/>
      <c r="N25" s="577">
        <f t="shared" si="7"/>
        <v>8.36</v>
      </c>
      <c r="O25" s="577"/>
      <c r="P25" s="577">
        <f t="shared" si="8"/>
        <v>0.10639999999999999</v>
      </c>
      <c r="Q25" s="568"/>
      <c r="R25" s="577">
        <f t="shared" si="9"/>
        <v>1.9189999999999998</v>
      </c>
      <c r="S25" s="577"/>
      <c r="T25" s="577"/>
      <c r="U25" s="577"/>
      <c r="V25" s="577"/>
      <c r="W25" s="577">
        <f>1.9*W13</f>
        <v>123.386</v>
      </c>
      <c r="X25" s="568">
        <v>2</v>
      </c>
    </row>
    <row r="26" spans="1:26" ht="16.5" thickBot="1" x14ac:dyDescent="0.3">
      <c r="A26" s="568"/>
      <c r="B26" s="568"/>
      <c r="C26" s="579" t="s">
        <v>53</v>
      </c>
      <c r="D26" s="578"/>
      <c r="E26" s="556">
        <f t="shared" si="0"/>
        <v>0</v>
      </c>
      <c r="F26" s="556">
        <f t="shared" si="1"/>
        <v>0.81544199999999989</v>
      </c>
      <c r="G26" s="556">
        <f t="shared" si="2"/>
        <v>2.3351569999999997</v>
      </c>
      <c r="H26" s="556">
        <f t="shared" si="3"/>
        <v>2.7965340000000003</v>
      </c>
      <c r="I26" s="557"/>
      <c r="J26" s="372">
        <f t="shared" si="4"/>
        <v>5586.1876799999991</v>
      </c>
      <c r="K26" s="557"/>
      <c r="L26" s="556">
        <f t="shared" si="5"/>
        <v>0</v>
      </c>
      <c r="M26" s="565"/>
      <c r="N26" s="577">
        <f t="shared" si="7"/>
        <v>10.507</v>
      </c>
      <c r="O26" s="577"/>
      <c r="P26" s="577">
        <f t="shared" si="8"/>
        <v>0.10639999999999999</v>
      </c>
      <c r="Q26" s="568"/>
      <c r="R26" s="577">
        <f t="shared" si="9"/>
        <v>2.4129999999999998</v>
      </c>
      <c r="S26" s="577"/>
      <c r="T26" s="577"/>
      <c r="U26" s="577"/>
      <c r="V26" s="577"/>
      <c r="W26" s="577">
        <f>1.9*W14</f>
        <v>155.02099999999999</v>
      </c>
      <c r="X26" s="568">
        <v>2</v>
      </c>
    </row>
    <row r="27" spans="1:26" s="580" customFormat="1" ht="16.5" thickBot="1" x14ac:dyDescent="0.3">
      <c r="A27" s="574"/>
      <c r="B27" s="574"/>
      <c r="C27" s="582" t="s">
        <v>41</v>
      </c>
      <c r="D27" s="581"/>
      <c r="E27" s="44">
        <f t="shared" si="0"/>
        <v>0.17055359999999997</v>
      </c>
      <c r="F27" s="44">
        <f t="shared" si="1"/>
        <v>9.9453823999999996E-2</v>
      </c>
      <c r="G27" s="44">
        <f t="shared" si="2"/>
        <v>0.3618486528</v>
      </c>
      <c r="H27" s="556">
        <f t="shared" si="3"/>
        <v>0.308576448</v>
      </c>
      <c r="I27" s="2"/>
      <c r="J27" s="372">
        <f t="shared" si="4"/>
        <v>441.20676012799993</v>
      </c>
      <c r="K27" s="2"/>
      <c r="L27" s="44">
        <f t="shared" si="5"/>
        <v>5.6851199999999992E-3</v>
      </c>
      <c r="M27" s="570"/>
      <c r="N27" s="569">
        <f>(0.88*0.88+4*0.09*0.09*0.8)/2.5</f>
        <v>0.32012799999999997</v>
      </c>
      <c r="O27" s="569">
        <f>2*(0.7+0.7)*0.8*0.09</f>
        <v>0.20159999999999997</v>
      </c>
      <c r="P27" s="569">
        <v>0.06</v>
      </c>
      <c r="Q27" s="574"/>
      <c r="R27" s="569">
        <f>3*N27*2*0.1+0.09*0.09*0.8*4</f>
        <v>0.21799679999999999</v>
      </c>
      <c r="S27" s="569"/>
      <c r="T27" s="569">
        <f>4*(0.7+0.7)/2*0.8</f>
        <v>2.2399999999999998</v>
      </c>
      <c r="U27" s="569"/>
      <c r="V27" s="569"/>
      <c r="W27" s="577">
        <f>40*R27</f>
        <v>8.7198719999999987</v>
      </c>
      <c r="X27" s="574"/>
      <c r="Y27" s="368"/>
      <c r="Z27" s="368"/>
    </row>
    <row r="28" spans="1:26" ht="16.5" thickBot="1" x14ac:dyDescent="0.3">
      <c r="A28" s="568"/>
      <c r="B28" s="568"/>
      <c r="C28" s="579" t="s">
        <v>42</v>
      </c>
      <c r="D28" s="578"/>
      <c r="E28" s="556">
        <f t="shared" si="0"/>
        <v>0.28019519999999998</v>
      </c>
      <c r="F28" s="556">
        <f t="shared" si="1"/>
        <v>0.14735024000000002</v>
      </c>
      <c r="G28" s="556">
        <f t="shared" si="2"/>
        <v>0.52819569600000005</v>
      </c>
      <c r="H28" s="556">
        <f t="shared" si="3"/>
        <v>0.43353936000000004</v>
      </c>
      <c r="I28" s="557"/>
      <c r="J28" s="372">
        <f t="shared" si="4"/>
        <v>672.43252495999991</v>
      </c>
      <c r="K28" s="557"/>
      <c r="L28" s="556">
        <f t="shared" si="5"/>
        <v>9.3398400000000003E-3</v>
      </c>
      <c r="M28" s="565"/>
      <c r="N28" s="577">
        <f>(1.1*1.1+4*0.09*0.09*1)/2.5</f>
        <v>0.49696000000000007</v>
      </c>
      <c r="O28" s="577">
        <f>2*(0.92+0.92)*1*0.09</f>
        <v>0.33119999999999999</v>
      </c>
      <c r="P28" s="577">
        <v>0.06</v>
      </c>
      <c r="Q28" s="568"/>
      <c r="R28" s="577">
        <f>3*N28*2*0.1+0.09*0.09*1*4</f>
        <v>0.33057600000000004</v>
      </c>
      <c r="S28" s="577"/>
      <c r="T28" s="577">
        <f>4*(0.92+0.92)/2*1</f>
        <v>3.68</v>
      </c>
      <c r="U28" s="577"/>
      <c r="V28" s="577"/>
      <c r="W28" s="577">
        <f>40*R28</f>
        <v>13.223040000000001</v>
      </c>
      <c r="X28" s="568"/>
    </row>
    <row r="29" spans="1:26" ht="16.5" thickBot="1" x14ac:dyDescent="0.3">
      <c r="A29" s="568"/>
      <c r="B29" s="568"/>
      <c r="C29" s="579" t="s">
        <v>30</v>
      </c>
      <c r="D29" s="578"/>
      <c r="E29" s="556">
        <f t="shared" si="0"/>
        <v>0.6822144</v>
      </c>
      <c r="F29" s="556">
        <f t="shared" si="1"/>
        <v>0.25613760000000002</v>
      </c>
      <c r="G29" s="556">
        <f t="shared" si="2"/>
        <v>0.95694329600000005</v>
      </c>
      <c r="H29" s="556">
        <f t="shared" si="3"/>
        <v>0.70038336000000012</v>
      </c>
      <c r="I29" s="557"/>
      <c r="J29" s="372">
        <f t="shared" si="4"/>
        <v>1254.8365582933334</v>
      </c>
      <c r="K29" s="557"/>
      <c r="L29" s="556">
        <f t="shared" si="5"/>
        <v>2.274048E-2</v>
      </c>
      <c r="M29" s="565"/>
      <c r="N29" s="577">
        <f>(1.48*1.48+4*0.14*0.14*1.2)/3</f>
        <v>0.76149333333333324</v>
      </c>
      <c r="O29" s="577">
        <f>2*(1.2+1.2)*1.2*0.14</f>
        <v>0.80640000000000001</v>
      </c>
      <c r="P29" s="577">
        <v>0.08</v>
      </c>
      <c r="Q29" s="568"/>
      <c r="R29" s="577">
        <f>3*N29*2*0.1+0.14*0.14*1.2*4</f>
        <v>0.55097600000000002</v>
      </c>
      <c r="S29" s="577"/>
      <c r="T29" s="577">
        <f>4*(1.2+1.2)/2*1.2</f>
        <v>5.76</v>
      </c>
      <c r="U29" s="577"/>
      <c r="V29" s="577"/>
      <c r="W29" s="577">
        <f>40*R29</f>
        <v>22.03904</v>
      </c>
      <c r="X29" s="568"/>
    </row>
    <row r="30" spans="1:26" ht="16.5" thickBot="1" x14ac:dyDescent="0.3">
      <c r="A30" s="568"/>
      <c r="B30" s="568"/>
      <c r="C30" s="579" t="s">
        <v>31</v>
      </c>
      <c r="D30" s="578"/>
      <c r="E30" s="556">
        <f t="shared" si="0"/>
        <v>0.92856959999999988</v>
      </c>
      <c r="F30" s="556">
        <f t="shared" si="1"/>
        <v>0.33109503999999995</v>
      </c>
      <c r="G30" s="556">
        <f t="shared" si="2"/>
        <v>1.2541824319999999</v>
      </c>
      <c r="H30" s="556">
        <f t="shared" si="3"/>
        <v>0.89487311999999997</v>
      </c>
      <c r="I30" s="557"/>
      <c r="J30" s="372">
        <f t="shared" si="4"/>
        <v>1636.8346789866664</v>
      </c>
      <c r="K30" s="557"/>
      <c r="L30" s="556">
        <f t="shared" si="5"/>
        <v>3.0952319999999998E-2</v>
      </c>
      <c r="M30" s="565"/>
      <c r="N30" s="577">
        <f>(1.68*1.68+4*0.14*0.14*1.4)/3</f>
        <v>0.97738666666666651</v>
      </c>
      <c r="O30" s="577">
        <f>2*(1.4+1.4)*1.4*0.14</f>
        <v>1.0975999999999999</v>
      </c>
      <c r="P30" s="577">
        <v>0.11</v>
      </c>
      <c r="Q30" s="568"/>
      <c r="R30" s="577">
        <f>3*N30*2*0.1+0.14*0.14*1.4*4</f>
        <v>0.69619199999999992</v>
      </c>
      <c r="S30" s="577"/>
      <c r="T30" s="577">
        <f>4*(1.4+1.4)/2*1.4</f>
        <v>7.839999999999999</v>
      </c>
      <c r="U30" s="577"/>
      <c r="V30" s="577"/>
      <c r="W30" s="577">
        <f>40*R30</f>
        <v>27.847679999999997</v>
      </c>
      <c r="X30" s="568"/>
    </row>
    <row r="31" spans="1:26" ht="16.5" thickBot="1" x14ac:dyDescent="0.3">
      <c r="A31" s="568"/>
      <c r="B31" s="568"/>
      <c r="C31" s="579" t="s">
        <v>32</v>
      </c>
      <c r="D31" s="578"/>
      <c r="E31" s="556">
        <f t="shared" si="0"/>
        <v>1.3189478400000001</v>
      </c>
      <c r="F31" s="556">
        <f t="shared" si="1"/>
        <v>0.45250179200000007</v>
      </c>
      <c r="G31" s="556">
        <f t="shared" si="2"/>
        <v>1.7334338080000002</v>
      </c>
      <c r="H31" s="556">
        <f t="shared" si="3"/>
        <v>1.2150148800000002</v>
      </c>
      <c r="I31" s="557"/>
      <c r="J31" s="372">
        <f t="shared" si="4"/>
        <v>2254.8232410133337</v>
      </c>
      <c r="K31" s="557"/>
      <c r="L31" s="556">
        <f t="shared" si="5"/>
        <v>4.3964928000000007E-2</v>
      </c>
      <c r="M31" s="565"/>
      <c r="N31" s="577">
        <f>(1.98*1.98+4*0.14*0.14*1.6)/3</f>
        <v>1.3486133333333334</v>
      </c>
      <c r="O31" s="577">
        <f>2*(1.7+1.78)*1.6*0.14</f>
        <v>1.5590400000000002</v>
      </c>
      <c r="P31" s="577">
        <v>0.16</v>
      </c>
      <c r="Q31" s="568"/>
      <c r="R31" s="577">
        <f>3*N31*2*0.1+0.14*0.14*1.6*4</f>
        <v>0.93460800000000011</v>
      </c>
      <c r="S31" s="577"/>
      <c r="T31" s="577">
        <f>4*(1.7+1.7)/2*1.6</f>
        <v>10.88</v>
      </c>
      <c r="U31" s="577"/>
      <c r="V31" s="577"/>
      <c r="W31" s="577">
        <f>40*R31</f>
        <v>37.384320000000002</v>
      </c>
      <c r="X31" s="568"/>
    </row>
    <row r="32" spans="1:26" ht="16.5" thickBot="1" x14ac:dyDescent="0.3">
      <c r="A32" s="568"/>
      <c r="B32" s="568"/>
      <c r="C32" s="579" t="s">
        <v>123</v>
      </c>
      <c r="D32" s="578"/>
      <c r="E32" s="556">
        <f t="shared" si="0"/>
        <v>0</v>
      </c>
      <c r="F32" s="556">
        <f t="shared" si="1"/>
        <v>0.1320288</v>
      </c>
      <c r="G32" s="556">
        <f t="shared" si="2"/>
        <v>0.40193856</v>
      </c>
      <c r="H32" s="556">
        <f t="shared" si="3"/>
        <v>0.47436960000000006</v>
      </c>
      <c r="I32" s="557"/>
      <c r="J32" s="372">
        <f t="shared" si="4"/>
        <v>429.51122421333332</v>
      </c>
      <c r="K32" s="557"/>
      <c r="L32" s="556">
        <f t="shared" si="5"/>
        <v>0</v>
      </c>
      <c r="M32" s="565"/>
      <c r="N32" s="577">
        <f>N37/2</f>
        <v>0.94933333333333358</v>
      </c>
      <c r="O32" s="577"/>
      <c r="P32" s="577">
        <v>0.06</v>
      </c>
      <c r="Q32" s="568"/>
      <c r="R32" s="577">
        <f>(4*0.8*0.12*(0.7+0.88)/2+(0.8*0.8)*0.1)</f>
        <v>0.36736000000000002</v>
      </c>
      <c r="S32" s="577"/>
      <c r="T32" s="577"/>
      <c r="U32" s="577"/>
      <c r="V32" s="577"/>
      <c r="W32" s="577">
        <f>W27</f>
        <v>8.7198719999999987</v>
      </c>
      <c r="X32" s="568"/>
    </row>
    <row r="33" spans="1:24" ht="16.5" thickBot="1" x14ac:dyDescent="0.3">
      <c r="A33" s="568"/>
      <c r="B33" s="568"/>
      <c r="C33" s="579" t="s">
        <v>124</v>
      </c>
      <c r="D33" s="578"/>
      <c r="E33" s="556">
        <f t="shared" si="0"/>
        <v>0</v>
      </c>
      <c r="F33" s="556">
        <f t="shared" si="1"/>
        <v>0.20444730000000003</v>
      </c>
      <c r="G33" s="556">
        <f t="shared" si="2"/>
        <v>0.60405201000000008</v>
      </c>
      <c r="H33" s="556">
        <f t="shared" si="3"/>
        <v>0.71795910000000007</v>
      </c>
      <c r="I33" s="557"/>
      <c r="J33" s="372">
        <f t="shared" si="4"/>
        <v>657.68880203333333</v>
      </c>
      <c r="K33" s="557"/>
      <c r="L33" s="556">
        <f t="shared" si="5"/>
        <v>0</v>
      </c>
      <c r="M33" s="565"/>
      <c r="N33" s="577">
        <f>N38/2</f>
        <v>1.5166833333333332</v>
      </c>
      <c r="O33" s="577"/>
      <c r="P33" s="577">
        <v>0.06</v>
      </c>
      <c r="Q33" s="568"/>
      <c r="R33" s="577">
        <f>(4*1*0.12*(0.92+1.1)/2+(1.01*1.01)*0.1)</f>
        <v>0.58681000000000005</v>
      </c>
      <c r="S33" s="577"/>
      <c r="T33" s="577"/>
      <c r="U33" s="577"/>
      <c r="V33" s="577"/>
      <c r="W33" s="577">
        <f>W28</f>
        <v>13.223040000000001</v>
      </c>
      <c r="X33" s="568"/>
    </row>
    <row r="34" spans="1:24" ht="16.5" thickBot="1" x14ac:dyDescent="0.3">
      <c r="A34" s="568"/>
      <c r="B34" s="568"/>
      <c r="C34" s="579" t="s">
        <v>125</v>
      </c>
      <c r="D34" s="578"/>
      <c r="E34" s="556">
        <f t="shared" si="0"/>
        <v>0</v>
      </c>
      <c r="F34" s="556">
        <f t="shared" si="1"/>
        <v>0.38327894999999995</v>
      </c>
      <c r="G34" s="556">
        <f t="shared" si="2"/>
        <v>1.1143076149999998</v>
      </c>
      <c r="H34" s="556">
        <f t="shared" si="3"/>
        <v>1.3295746499999999</v>
      </c>
      <c r="I34" s="557"/>
      <c r="J34" s="372">
        <f t="shared" si="4"/>
        <v>1151.1882539166666</v>
      </c>
      <c r="K34" s="557"/>
      <c r="L34" s="556">
        <f t="shared" si="5"/>
        <v>0</v>
      </c>
      <c r="M34" s="565"/>
      <c r="N34" s="577">
        <f>N39/2</f>
        <v>2.4432666666666667</v>
      </c>
      <c r="O34" s="577"/>
      <c r="P34" s="577">
        <v>0.08</v>
      </c>
      <c r="Q34" s="568"/>
      <c r="R34" s="577">
        <f>(4*1.2*0.15*(1.2+1.48)/2+(1.01*1.01)*0.15)</f>
        <v>1.1178149999999998</v>
      </c>
      <c r="S34" s="577"/>
      <c r="T34" s="577"/>
      <c r="U34" s="577"/>
      <c r="V34" s="577"/>
      <c r="W34" s="577">
        <f>W29</f>
        <v>22.03904</v>
      </c>
      <c r="X34" s="568"/>
    </row>
    <row r="35" spans="1:24" ht="16.5" thickBot="1" x14ac:dyDescent="0.3">
      <c r="A35" s="568"/>
      <c r="B35" s="568"/>
      <c r="C35" s="579" t="s">
        <v>126</v>
      </c>
      <c r="D35" s="578"/>
      <c r="E35" s="556">
        <f t="shared" ref="E35:E66" si="10">O35*0.846</f>
        <v>0</v>
      </c>
      <c r="F35" s="556">
        <f t="shared" ref="F35:F66" si="11">A35*0.27*0.7+M35*0.1+O35*0.0588+P35*0.18+Q35*0.27+R35*0.33+S35*0.344+T35*0.005*0.434</f>
        <v>0.56408220000000009</v>
      </c>
      <c r="G35" s="556">
        <f t="shared" ref="G35:G66" si="12">A35*0.921*0.7+M35*0.51+O35*0.396+P35*1.06+Q35*0.96+R35*0.921+S35*1.02+T35*0.005*1.575</f>
        <v>1.6356421400000001</v>
      </c>
      <c r="H35" s="556">
        <f t="shared" ref="H35:H66" si="13">A35*1.11*0.7+M35*1.5+P35*1.11+Q35*1.11+R35*1.11+S35*1.11</f>
        <v>1.9528674000000004</v>
      </c>
      <c r="I35" s="557"/>
      <c r="J35" s="372">
        <f t="shared" ref="J35:J66" si="14">A35*345.22+M35*265.87+N35*58.84+O35*578+P35*408.95+Q35*455.36+R35*487.71+S35*495.4+T35*449.92*0.005+U35*20.24+V35*17.84+W35*19.49+X35*363.12+K35*449.35+I35*301.65</f>
        <v>1584.5382719333334</v>
      </c>
      <c r="K35" s="557"/>
      <c r="L35" s="556">
        <f t="shared" ref="L35:L66" si="15">O35*0.0282</f>
        <v>0</v>
      </c>
      <c r="M35" s="565"/>
      <c r="N35" s="577">
        <f>N40/2</f>
        <v>3.2699333333333329</v>
      </c>
      <c r="O35" s="577"/>
      <c r="P35" s="577">
        <v>0.11</v>
      </c>
      <c r="Q35" s="568"/>
      <c r="R35" s="577">
        <f>(4*1.4*0.15*(1.4+1.68)/2+(1.54*1.54)*0.15)</f>
        <v>1.64934</v>
      </c>
      <c r="S35" s="577"/>
      <c r="T35" s="577"/>
      <c r="U35" s="577"/>
      <c r="V35" s="577"/>
      <c r="W35" s="577">
        <f>W30</f>
        <v>27.847679999999997</v>
      </c>
      <c r="X35" s="568"/>
    </row>
    <row r="36" spans="1:24" ht="16.5" thickBot="1" x14ac:dyDescent="0.3">
      <c r="A36" s="568"/>
      <c r="B36" s="568"/>
      <c r="C36" s="579" t="s">
        <v>127</v>
      </c>
      <c r="D36" s="578"/>
      <c r="E36" s="556">
        <f t="shared" si="10"/>
        <v>0</v>
      </c>
      <c r="F36" s="556">
        <f t="shared" si="11"/>
        <v>0.77929919999999997</v>
      </c>
      <c r="G36" s="556">
        <f t="shared" si="12"/>
        <v>2.26417504</v>
      </c>
      <c r="H36" s="556">
        <f t="shared" si="13"/>
        <v>2.7020064000000001</v>
      </c>
      <c r="I36" s="557"/>
      <c r="J36" s="372">
        <f t="shared" si="14"/>
        <v>2167.3900512</v>
      </c>
      <c r="K36" s="557"/>
      <c r="L36" s="556">
        <f t="shared" si="15"/>
        <v>0</v>
      </c>
      <c r="M36" s="565"/>
      <c r="N36" s="577">
        <f>N41/2</f>
        <v>4.4896000000000003</v>
      </c>
      <c r="O36" s="577"/>
      <c r="P36" s="577">
        <v>0.16</v>
      </c>
      <c r="Q36" s="568"/>
      <c r="R36" s="577">
        <f>(4*1.6*0.15*(1.7+1.98)/2+(1.84*1.84)*0.15)</f>
        <v>2.2742399999999998</v>
      </c>
      <c r="S36" s="577"/>
      <c r="T36" s="577"/>
      <c r="U36" s="577"/>
      <c r="V36" s="577"/>
      <c r="W36" s="577">
        <f>W31</f>
        <v>37.384320000000002</v>
      </c>
      <c r="X36" s="568"/>
    </row>
    <row r="37" spans="1:24" ht="16.5" thickBot="1" x14ac:dyDescent="0.3">
      <c r="A37" s="568"/>
      <c r="B37" s="568"/>
      <c r="C37" s="579" t="s">
        <v>128</v>
      </c>
      <c r="D37" s="578"/>
      <c r="E37" s="556">
        <f t="shared" si="10"/>
        <v>0</v>
      </c>
      <c r="F37" s="556">
        <f t="shared" si="11"/>
        <v>0.13625280000000003</v>
      </c>
      <c r="G37" s="556">
        <f t="shared" si="12"/>
        <v>0.41372736000000004</v>
      </c>
      <c r="H37" s="556">
        <f t="shared" si="13"/>
        <v>0.48857760000000011</v>
      </c>
      <c r="I37" s="557"/>
      <c r="J37" s="372">
        <f t="shared" si="14"/>
        <v>877.32228026666667</v>
      </c>
      <c r="K37" s="557"/>
      <c r="L37" s="556">
        <f t="shared" si="15"/>
        <v>0</v>
      </c>
      <c r="M37" s="565"/>
      <c r="N37" s="577">
        <f>(4*0.8*(0.7+0.88)+(0.8*0.8))/3</f>
        <v>1.8986666666666672</v>
      </c>
      <c r="O37" s="577"/>
      <c r="P37" s="577">
        <v>0.06</v>
      </c>
      <c r="Q37" s="568"/>
      <c r="R37" s="577">
        <f>(4*0.8*0.12*(0.7+0.88)/2+(0.8*0.8)*0.12)</f>
        <v>0.38016000000000005</v>
      </c>
      <c r="S37" s="577"/>
      <c r="T37" s="577"/>
      <c r="U37" s="577"/>
      <c r="V37" s="577"/>
      <c r="W37" s="577">
        <f>ROUND(R37*75,2)</f>
        <v>28.51</v>
      </c>
      <c r="X37" s="568"/>
    </row>
    <row r="38" spans="1:24" ht="16.5" thickBot="1" x14ac:dyDescent="0.3">
      <c r="A38" s="568"/>
      <c r="B38" s="568"/>
      <c r="C38" s="579" t="s">
        <v>129</v>
      </c>
      <c r="D38" s="578"/>
      <c r="E38" s="556">
        <f t="shared" si="10"/>
        <v>0</v>
      </c>
      <c r="F38" s="556">
        <f t="shared" si="11"/>
        <v>0.21117996</v>
      </c>
      <c r="G38" s="556">
        <f t="shared" si="12"/>
        <v>0.62284225199999999</v>
      </c>
      <c r="H38" s="556">
        <f t="shared" si="13"/>
        <v>0.74060532000000001</v>
      </c>
      <c r="I38" s="557"/>
      <c r="J38" s="372">
        <f t="shared" si="14"/>
        <v>1386.7382591866667</v>
      </c>
      <c r="K38" s="557"/>
      <c r="L38" s="556">
        <f t="shared" si="15"/>
        <v>0</v>
      </c>
      <c r="M38" s="565"/>
      <c r="N38" s="577">
        <f>(4*1*(0.92+1.1)+(1.01*1.01))/3</f>
        <v>3.0333666666666663</v>
      </c>
      <c r="O38" s="577"/>
      <c r="P38" s="577">
        <v>0.06</v>
      </c>
      <c r="Q38" s="568"/>
      <c r="R38" s="577">
        <f>(4*1*0.12*(0.92+1.1)/2+(1.01*1.01)*0.12)</f>
        <v>0.60721199999999997</v>
      </c>
      <c r="S38" s="577"/>
      <c r="T38" s="577"/>
      <c r="U38" s="577"/>
      <c r="V38" s="577"/>
      <c r="W38" s="577">
        <f>ROUND(R38*75,2)</f>
        <v>45.54</v>
      </c>
      <c r="X38" s="568"/>
    </row>
    <row r="39" spans="1:24" ht="16.5" thickBot="1" x14ac:dyDescent="0.3">
      <c r="A39" s="568"/>
      <c r="B39" s="568"/>
      <c r="C39" s="579" t="s">
        <v>130</v>
      </c>
      <c r="D39" s="578"/>
      <c r="E39" s="556">
        <f t="shared" si="10"/>
        <v>0</v>
      </c>
      <c r="F39" s="556">
        <f t="shared" si="11"/>
        <v>0.38327894999999995</v>
      </c>
      <c r="G39" s="556">
        <f t="shared" si="12"/>
        <v>1.1143076149999998</v>
      </c>
      <c r="H39" s="556">
        <f t="shared" si="13"/>
        <v>1.3295746499999999</v>
      </c>
      <c r="I39" s="557"/>
      <c r="J39" s="372">
        <f t="shared" si="14"/>
        <v>2390.501674983333</v>
      </c>
      <c r="K39" s="557"/>
      <c r="L39" s="556">
        <f t="shared" si="15"/>
        <v>0</v>
      </c>
      <c r="M39" s="565"/>
      <c r="N39" s="577">
        <f>(4*1.2*(1.2+1.48)+(1.34*1.34))/3</f>
        <v>4.8865333333333334</v>
      </c>
      <c r="O39" s="577"/>
      <c r="P39" s="577">
        <v>0.08</v>
      </c>
      <c r="Q39" s="568"/>
      <c r="R39" s="577">
        <f>(4*1.2*0.15*(1.2+1.48)/2+(1.01*1.01)*0.15)</f>
        <v>1.1178149999999998</v>
      </c>
      <c r="S39" s="577"/>
      <c r="T39" s="577"/>
      <c r="U39" s="577"/>
      <c r="V39" s="577"/>
      <c r="W39" s="577">
        <f>ROUND(R39*70,2)</f>
        <v>78.25</v>
      </c>
      <c r="X39" s="568"/>
    </row>
    <row r="40" spans="1:24" ht="16.5" thickBot="1" x14ac:dyDescent="0.3">
      <c r="A40" s="568"/>
      <c r="B40" s="568"/>
      <c r="C40" s="579" t="s">
        <v>131</v>
      </c>
      <c r="D40" s="578"/>
      <c r="E40" s="556">
        <f t="shared" si="10"/>
        <v>0</v>
      </c>
      <c r="F40" s="556">
        <f t="shared" si="11"/>
        <v>0.56408220000000009</v>
      </c>
      <c r="G40" s="556">
        <f t="shared" si="12"/>
        <v>1.6356421400000001</v>
      </c>
      <c r="H40" s="556">
        <f t="shared" si="13"/>
        <v>1.9528674000000004</v>
      </c>
      <c r="I40" s="557"/>
      <c r="J40" s="372">
        <f t="shared" si="14"/>
        <v>3484.3103660666666</v>
      </c>
      <c r="K40" s="557"/>
      <c r="L40" s="556">
        <f t="shared" si="15"/>
        <v>0</v>
      </c>
      <c r="M40" s="565"/>
      <c r="N40" s="577">
        <f>(4*1.4*(1.4+1.68)+(1.54*1.54))/3</f>
        <v>6.5398666666666658</v>
      </c>
      <c r="O40" s="577"/>
      <c r="P40" s="577">
        <v>0.11</v>
      </c>
      <c r="Q40" s="568"/>
      <c r="R40" s="577">
        <f>(4*1.4*0.15*(1.4+1.68)/2+(1.54*1.54)*0.15)</f>
        <v>1.64934</v>
      </c>
      <c r="S40" s="577"/>
      <c r="T40" s="577"/>
      <c r="U40" s="577"/>
      <c r="V40" s="577"/>
      <c r="W40" s="577">
        <f>ROUND(R40*70,2)</f>
        <v>115.45</v>
      </c>
      <c r="X40" s="568"/>
    </row>
    <row r="41" spans="1:24" ht="16.5" thickBot="1" x14ac:dyDescent="0.3">
      <c r="A41" s="568"/>
      <c r="B41" s="568"/>
      <c r="C41" s="579" t="s">
        <v>132</v>
      </c>
      <c r="D41" s="578"/>
      <c r="E41" s="556">
        <f t="shared" si="10"/>
        <v>0</v>
      </c>
      <c r="F41" s="556">
        <f t="shared" si="11"/>
        <v>0.77929919999999997</v>
      </c>
      <c r="G41" s="556">
        <f t="shared" si="12"/>
        <v>2.26417504</v>
      </c>
      <c r="H41" s="556">
        <f t="shared" si="13"/>
        <v>2.7020064000000001</v>
      </c>
      <c r="I41" s="557"/>
      <c r="J41" s="372">
        <f t="shared" si="14"/>
        <v>4805.7457183999995</v>
      </c>
      <c r="K41" s="557"/>
      <c r="L41" s="556">
        <f t="shared" si="15"/>
        <v>0</v>
      </c>
      <c r="M41" s="565"/>
      <c r="N41" s="577">
        <f>(4*1.6*(1.7+1.98)+(1.84*1.84))/3</f>
        <v>8.9792000000000005</v>
      </c>
      <c r="O41" s="577"/>
      <c r="P41" s="577">
        <v>0.16</v>
      </c>
      <c r="Q41" s="568"/>
      <c r="R41" s="577">
        <f>(4*1.6*0.15*(1.7+1.98)/2+(1.84*1.84)*0.15)</f>
        <v>2.2742399999999998</v>
      </c>
      <c r="S41" s="577"/>
      <c r="T41" s="577"/>
      <c r="U41" s="577"/>
      <c r="V41" s="577"/>
      <c r="W41" s="577">
        <f>ROUND(R41*70,2)</f>
        <v>159.19999999999999</v>
      </c>
      <c r="X41" s="568"/>
    </row>
    <row r="42" spans="1:24" ht="16.5" thickBot="1" x14ac:dyDescent="0.3">
      <c r="A42" s="568"/>
      <c r="B42" s="568"/>
      <c r="C42" s="579" t="s">
        <v>133</v>
      </c>
      <c r="D42" s="578"/>
      <c r="E42" s="556">
        <f t="shared" si="10"/>
        <v>0</v>
      </c>
      <c r="F42" s="556">
        <f t="shared" si="11"/>
        <v>1.2096229499999998</v>
      </c>
      <c r="G42" s="556">
        <f t="shared" si="12"/>
        <v>3.5097804149999998</v>
      </c>
      <c r="H42" s="556">
        <f t="shared" si="13"/>
        <v>4.18982265</v>
      </c>
      <c r="I42" s="557"/>
      <c r="J42" s="372">
        <f t="shared" si="14"/>
        <v>7260.3459926499991</v>
      </c>
      <c r="K42" s="557"/>
      <c r="L42" s="556">
        <f t="shared" si="15"/>
        <v>0</v>
      </c>
      <c r="M42" s="565"/>
      <c r="N42" s="577">
        <f>(4*2*(2.1+2.48)+(2.29*2.29))/4</f>
        <v>10.471025000000001</v>
      </c>
      <c r="O42" s="577"/>
      <c r="P42" s="577">
        <v>0.24</v>
      </c>
      <c r="Q42" s="568"/>
      <c r="R42" s="577">
        <f>(4*2*0.15*(2.1+2.48)/2+(2.29*2.29)*0.15)</f>
        <v>3.5346149999999996</v>
      </c>
      <c r="S42" s="577"/>
      <c r="T42" s="577"/>
      <c r="U42" s="577"/>
      <c r="V42" s="577"/>
      <c r="W42" s="577">
        <f>ROUND(R42*70,2)</f>
        <v>247.42</v>
      </c>
      <c r="X42" s="568"/>
    </row>
    <row r="43" spans="1:24" ht="16.5" thickBot="1" x14ac:dyDescent="0.3">
      <c r="A43" s="568"/>
      <c r="B43" s="568"/>
      <c r="C43" s="579" t="s">
        <v>134</v>
      </c>
      <c r="D43" s="578"/>
      <c r="E43" s="556">
        <f t="shared" si="10"/>
        <v>0</v>
      </c>
      <c r="F43" s="556">
        <f t="shared" si="11"/>
        <v>1.9087789500000001</v>
      </c>
      <c r="G43" s="556">
        <f t="shared" si="12"/>
        <v>5.5279776150000002</v>
      </c>
      <c r="H43" s="556">
        <f t="shared" si="13"/>
        <v>6.6020746500000005</v>
      </c>
      <c r="I43" s="557"/>
      <c r="J43" s="372">
        <f t="shared" si="14"/>
        <v>11469.066144649998</v>
      </c>
      <c r="K43" s="557"/>
      <c r="L43" s="556">
        <f t="shared" si="15"/>
        <v>0</v>
      </c>
      <c r="M43" s="565"/>
      <c r="N43" s="577">
        <f>(4*2.5*(2.7+3.08)+(2.89*2.89))/4</f>
        <v>16.538025000000001</v>
      </c>
      <c r="O43" s="577"/>
      <c r="P43" s="577">
        <v>0.36</v>
      </c>
      <c r="Q43" s="568"/>
      <c r="R43" s="577">
        <f>(4*2.5*0.15*(2.7+3.08)/2+(2.89*2.89)*0.15)</f>
        <v>5.587815</v>
      </c>
      <c r="S43" s="577"/>
      <c r="T43" s="577"/>
      <c r="U43" s="577"/>
      <c r="V43" s="577"/>
      <c r="W43" s="577">
        <f>ROUND(R43*70,2)</f>
        <v>391.15</v>
      </c>
      <c r="X43" s="568"/>
    </row>
    <row r="44" spans="1:24" ht="16.5" thickBot="1" x14ac:dyDescent="0.3">
      <c r="A44" s="568"/>
      <c r="B44" s="568"/>
      <c r="C44" s="579" t="s">
        <v>56</v>
      </c>
      <c r="D44" s="578"/>
      <c r="E44" s="556">
        <f t="shared" si="10"/>
        <v>0.54144000000000003</v>
      </c>
      <c r="F44" s="556">
        <f t="shared" si="11"/>
        <v>0.35276220000000008</v>
      </c>
      <c r="G44" s="556">
        <f t="shared" si="12"/>
        <v>1.1888125000000003</v>
      </c>
      <c r="H44" s="556">
        <f t="shared" si="13"/>
        <v>1.1100000000000001</v>
      </c>
      <c r="I44" s="557">
        <v>1</v>
      </c>
      <c r="J44" s="372">
        <f t="shared" si="14"/>
        <v>2164.1967759999998</v>
      </c>
      <c r="K44" s="557">
        <v>1</v>
      </c>
      <c r="L44" s="556">
        <f t="shared" si="15"/>
        <v>1.8048000000000002E-2</v>
      </c>
      <c r="M44" s="565"/>
      <c r="N44" s="577">
        <f>ROUND((4.9+2*0.5)/5,2)</f>
        <v>1.18</v>
      </c>
      <c r="O44" s="577">
        <f>ROUND((1.285*0.5),2)</f>
        <v>0.64</v>
      </c>
      <c r="P44" s="577">
        <v>0.1</v>
      </c>
      <c r="Q44" s="568"/>
      <c r="R44" s="577">
        <f>ROUND((0.8 +0.205 *0.5),2)</f>
        <v>0.9</v>
      </c>
      <c r="S44" s="577"/>
      <c r="T44" s="577">
        <f>ROUND((0.12 *0.5),2)</f>
        <v>0.06</v>
      </c>
      <c r="U44" s="577"/>
      <c r="V44" s="577"/>
      <c r="W44" s="577">
        <f>ROUND((21.07 +8.54 *0.5),2)</f>
        <v>25.34</v>
      </c>
      <c r="X44" s="568"/>
    </row>
    <row r="45" spans="1:24" ht="16.5" thickBot="1" x14ac:dyDescent="0.3">
      <c r="A45" s="568"/>
      <c r="B45" s="568"/>
      <c r="C45" s="579" t="s">
        <v>57</v>
      </c>
      <c r="D45" s="578"/>
      <c r="E45" s="556">
        <f t="shared" si="10"/>
        <v>0.76139999999999997</v>
      </c>
      <c r="F45" s="556">
        <f t="shared" si="11"/>
        <v>0.38489359999999995</v>
      </c>
      <c r="G45" s="556">
        <f t="shared" si="12"/>
        <v>1.3499699999999999</v>
      </c>
      <c r="H45" s="556">
        <f t="shared" si="13"/>
        <v>1.1766000000000001</v>
      </c>
      <c r="I45" s="557">
        <v>1</v>
      </c>
      <c r="J45" s="372">
        <f t="shared" si="14"/>
        <v>2380.2442679999999</v>
      </c>
      <c r="K45" s="557">
        <v>1</v>
      </c>
      <c r="L45" s="556">
        <f t="shared" si="15"/>
        <v>2.538E-2</v>
      </c>
      <c r="M45" s="565"/>
      <c r="N45" s="577">
        <f>ROUND((4.9+2*0.7)/5,2)</f>
        <v>1.26</v>
      </c>
      <c r="O45" s="577">
        <f>ROUND((1.285*0.7),2)</f>
        <v>0.9</v>
      </c>
      <c r="P45" s="577">
        <v>0.12</v>
      </c>
      <c r="Q45" s="568"/>
      <c r="R45" s="577">
        <f>ROUND((0.8 +0.205 *0.7),2)</f>
        <v>0.94</v>
      </c>
      <c r="S45" s="577"/>
      <c r="T45" s="577">
        <f>ROUND((0.12 *0.7),2)</f>
        <v>0.08</v>
      </c>
      <c r="U45" s="577"/>
      <c r="V45" s="577"/>
      <c r="W45" s="577">
        <f>ROUND((21.07 +8.54 *0.7),2)</f>
        <v>27.05</v>
      </c>
      <c r="X45" s="568"/>
    </row>
    <row r="46" spans="1:24" ht="16.5" thickBot="1" x14ac:dyDescent="0.3">
      <c r="A46" s="568"/>
      <c r="B46" s="568"/>
      <c r="C46" s="579" t="s">
        <v>58</v>
      </c>
      <c r="D46" s="578"/>
      <c r="E46" s="556">
        <f t="shared" si="10"/>
        <v>1.09134</v>
      </c>
      <c r="F46" s="556">
        <f t="shared" si="11"/>
        <v>0.43281240000000004</v>
      </c>
      <c r="G46" s="556">
        <f t="shared" si="12"/>
        <v>1.5797950000000001</v>
      </c>
      <c r="H46" s="556">
        <f t="shared" si="13"/>
        <v>1.2654000000000003</v>
      </c>
      <c r="I46" s="557">
        <v>1</v>
      </c>
      <c r="J46" s="372">
        <f t="shared" si="14"/>
        <v>2700.9386520000003</v>
      </c>
      <c r="K46" s="557">
        <v>1</v>
      </c>
      <c r="L46" s="556">
        <f t="shared" si="15"/>
        <v>3.6378000000000001E-2</v>
      </c>
      <c r="M46" s="565"/>
      <c r="N46" s="577">
        <f>ROUND((4.9+2*1)/5,2)</f>
        <v>1.38</v>
      </c>
      <c r="O46" s="577">
        <f>ROUND((1.285*1),2)</f>
        <v>1.29</v>
      </c>
      <c r="P46" s="577">
        <v>0.13</v>
      </c>
      <c r="Q46" s="568">
        <f>(Q45+Q47)/2</f>
        <v>0</v>
      </c>
      <c r="R46" s="577">
        <f>ROUND((0.8 +0.205 *1),2)</f>
        <v>1.01</v>
      </c>
      <c r="S46" s="577"/>
      <c r="T46" s="577">
        <f>ROUND((0.12 *1),2)</f>
        <v>0.12</v>
      </c>
      <c r="U46" s="577"/>
      <c r="V46" s="577"/>
      <c r="W46" s="577">
        <f>ROUND((21.07 +8.54 *1),2)</f>
        <v>29.61</v>
      </c>
      <c r="X46" s="568"/>
    </row>
    <row r="47" spans="1:24" ht="16.5" thickBot="1" x14ac:dyDescent="0.3">
      <c r="A47" s="568"/>
      <c r="B47" s="568"/>
      <c r="C47" s="579" t="s">
        <v>59</v>
      </c>
      <c r="D47" s="578"/>
      <c r="E47" s="556">
        <f t="shared" si="10"/>
        <v>1.30284</v>
      </c>
      <c r="F47" s="556">
        <f t="shared" si="11"/>
        <v>0.46255580000000002</v>
      </c>
      <c r="G47" s="556">
        <f t="shared" si="12"/>
        <v>1.7263925000000002</v>
      </c>
      <c r="H47" s="556">
        <f t="shared" si="13"/>
        <v>1.3209000000000002</v>
      </c>
      <c r="I47" s="557">
        <v>1</v>
      </c>
      <c r="J47" s="372">
        <f t="shared" si="14"/>
        <v>2907.1166439999997</v>
      </c>
      <c r="K47" s="557">
        <v>1</v>
      </c>
      <c r="L47" s="556">
        <f t="shared" si="15"/>
        <v>4.3428000000000001E-2</v>
      </c>
      <c r="M47" s="565"/>
      <c r="N47" s="577">
        <f>ROUND((4.9+2*1.2)/5,2)</f>
        <v>1.46</v>
      </c>
      <c r="O47" s="577">
        <f>ROUND((1.285*1.2),2)</f>
        <v>1.54</v>
      </c>
      <c r="P47" s="577">
        <v>0.14000000000000001</v>
      </c>
      <c r="Q47" s="568"/>
      <c r="R47" s="577">
        <f>ROUND((0.8 +0.205 *1.2),2)</f>
        <v>1.05</v>
      </c>
      <c r="S47" s="577"/>
      <c r="T47" s="577">
        <f>ROUND((0.12 *1.2),2)</f>
        <v>0.14000000000000001</v>
      </c>
      <c r="U47" s="577"/>
      <c r="V47" s="577"/>
      <c r="W47" s="577">
        <f>ROUND((21.07 +8.54 *1.2),2)</f>
        <v>31.32</v>
      </c>
      <c r="X47" s="568"/>
    </row>
    <row r="48" spans="1:24" ht="16.5" thickBot="1" x14ac:dyDescent="0.3">
      <c r="A48" s="568"/>
      <c r="B48" s="568"/>
      <c r="C48" s="579" t="s">
        <v>60</v>
      </c>
      <c r="D48" s="578"/>
      <c r="E48" s="556">
        <f t="shared" si="10"/>
        <v>1.6327799999999999</v>
      </c>
      <c r="F48" s="556">
        <f t="shared" si="11"/>
        <v>0.50537460000000012</v>
      </c>
      <c r="G48" s="556">
        <f t="shared" si="12"/>
        <v>1.9364075000000001</v>
      </c>
      <c r="H48" s="556">
        <f t="shared" si="13"/>
        <v>1.3875000000000002</v>
      </c>
      <c r="I48" s="557">
        <v>1</v>
      </c>
      <c r="J48" s="372">
        <f t="shared" si="14"/>
        <v>3218.8444279999999</v>
      </c>
      <c r="K48" s="557">
        <v>1</v>
      </c>
      <c r="L48" s="556">
        <f t="shared" si="15"/>
        <v>5.4425999999999995E-2</v>
      </c>
      <c r="M48" s="565"/>
      <c r="N48" s="577">
        <f>ROUND((4.9+2*1.5)/5,2)</f>
        <v>1.58</v>
      </c>
      <c r="O48" s="577">
        <f>ROUND((1.285*1.5),2)</f>
        <v>1.93</v>
      </c>
      <c r="P48" s="577">
        <v>0.14000000000000001</v>
      </c>
      <c r="Q48" s="568"/>
      <c r="R48" s="577">
        <f>ROUND((0.8 +0.205 *1.5),2)</f>
        <v>1.1100000000000001</v>
      </c>
      <c r="S48" s="577"/>
      <c r="T48" s="577">
        <f>ROUND((0.12 *1.5),2)</f>
        <v>0.18</v>
      </c>
      <c r="U48" s="577"/>
      <c r="V48" s="577"/>
      <c r="W48" s="577">
        <f>ROUND((21.07 +8.54 *1.5),2)</f>
        <v>33.880000000000003</v>
      </c>
      <c r="X48" s="568"/>
    </row>
    <row r="49" spans="1:24" ht="16.5" thickBot="1" x14ac:dyDescent="0.3">
      <c r="A49" s="568"/>
      <c r="B49" s="568"/>
      <c r="C49" s="579" t="s">
        <v>61</v>
      </c>
      <c r="D49" s="578"/>
      <c r="E49" s="556">
        <f t="shared" si="10"/>
        <v>0</v>
      </c>
      <c r="F49" s="556">
        <f t="shared" si="11"/>
        <v>0.38250000000000006</v>
      </c>
      <c r="G49" s="556">
        <f t="shared" si="12"/>
        <v>1.1483800000000002</v>
      </c>
      <c r="H49" s="556">
        <f t="shared" si="13"/>
        <v>1.35975</v>
      </c>
      <c r="I49" s="557">
        <v>1</v>
      </c>
      <c r="J49" s="372">
        <f t="shared" si="14"/>
        <v>1400.2775500000002</v>
      </c>
      <c r="K49" s="557">
        <v>1</v>
      </c>
      <c r="L49" s="556">
        <f t="shared" si="15"/>
        <v>0</v>
      </c>
      <c r="M49" s="565"/>
      <c r="N49" s="577">
        <f>N54/2</f>
        <v>1.075</v>
      </c>
      <c r="O49" s="577"/>
      <c r="P49" s="577">
        <f>P54</f>
        <v>0.14499999999999999</v>
      </c>
      <c r="Q49" s="568"/>
      <c r="R49" s="577">
        <f>R54</f>
        <v>1.08</v>
      </c>
      <c r="S49" s="577"/>
      <c r="T49" s="577"/>
      <c r="U49" s="577"/>
      <c r="V49" s="577"/>
      <c r="W49" s="577"/>
      <c r="X49" s="568"/>
    </row>
    <row r="50" spans="1:24" ht="16.5" thickBot="1" x14ac:dyDescent="0.3">
      <c r="A50" s="568"/>
      <c r="B50" s="568"/>
      <c r="C50" s="579" t="s">
        <v>62</v>
      </c>
      <c r="D50" s="578"/>
      <c r="E50" s="556">
        <f t="shared" si="10"/>
        <v>0</v>
      </c>
      <c r="F50" s="556">
        <f t="shared" si="11"/>
        <v>0.43200000000000005</v>
      </c>
      <c r="G50" s="556">
        <f t="shared" si="12"/>
        <v>1.28653</v>
      </c>
      <c r="H50" s="556">
        <f t="shared" si="13"/>
        <v>1.5262500000000001</v>
      </c>
      <c r="I50" s="557">
        <v>1</v>
      </c>
      <c r="J50" s="372">
        <f t="shared" si="14"/>
        <v>1488.1440499999999</v>
      </c>
      <c r="K50" s="557">
        <v>1</v>
      </c>
      <c r="L50" s="556">
        <f t="shared" si="15"/>
        <v>0</v>
      </c>
      <c r="M50" s="565"/>
      <c r="N50" s="577">
        <f>N55/2</f>
        <v>1.325</v>
      </c>
      <c r="O50" s="577"/>
      <c r="P50" s="577">
        <f>P55</f>
        <v>0.14499999999999999</v>
      </c>
      <c r="Q50" s="568"/>
      <c r="R50" s="577">
        <f>R55</f>
        <v>1.23</v>
      </c>
      <c r="S50" s="577"/>
      <c r="T50" s="577"/>
      <c r="U50" s="577"/>
      <c r="V50" s="577"/>
      <c r="W50" s="577"/>
      <c r="X50" s="568"/>
    </row>
    <row r="51" spans="1:24" ht="16.5" thickBot="1" x14ac:dyDescent="0.3">
      <c r="A51" s="568"/>
      <c r="B51" s="568"/>
      <c r="C51" s="579" t="s">
        <v>63</v>
      </c>
      <c r="D51" s="578"/>
      <c r="E51" s="556">
        <f t="shared" si="10"/>
        <v>0</v>
      </c>
      <c r="F51" s="556">
        <f t="shared" si="11"/>
        <v>0.50459999999999994</v>
      </c>
      <c r="G51" s="556">
        <f t="shared" si="12"/>
        <v>1.48915</v>
      </c>
      <c r="H51" s="556">
        <f t="shared" si="13"/>
        <v>1.7704500000000001</v>
      </c>
      <c r="I51" s="557">
        <v>1</v>
      </c>
      <c r="J51" s="372">
        <f t="shared" si="14"/>
        <v>1617.5052500000002</v>
      </c>
      <c r="K51" s="557">
        <v>1</v>
      </c>
      <c r="L51" s="556">
        <f t="shared" si="15"/>
        <v>0</v>
      </c>
      <c r="M51" s="565"/>
      <c r="N51" s="577">
        <f>N56/2</f>
        <v>1.7</v>
      </c>
      <c r="O51" s="577">
        <f>(O50+O52)/2</f>
        <v>0</v>
      </c>
      <c r="P51" s="577">
        <f>P56</f>
        <v>0.14499999999999999</v>
      </c>
      <c r="Q51" s="568">
        <f>(Q50+Q52)/2</f>
        <v>0</v>
      </c>
      <c r="R51" s="577">
        <f>R56</f>
        <v>1.45</v>
      </c>
      <c r="S51" s="577"/>
      <c r="T51" s="577">
        <f>(T50+T52)/2</f>
        <v>0</v>
      </c>
      <c r="U51" s="577"/>
      <c r="V51" s="577"/>
      <c r="W51" s="577"/>
      <c r="X51" s="568"/>
    </row>
    <row r="52" spans="1:24" ht="16.5" thickBot="1" x14ac:dyDescent="0.3">
      <c r="A52" s="568"/>
      <c r="B52" s="568"/>
      <c r="C52" s="579" t="s">
        <v>64</v>
      </c>
      <c r="D52" s="578"/>
      <c r="E52" s="556">
        <f t="shared" si="10"/>
        <v>0</v>
      </c>
      <c r="F52" s="556">
        <f t="shared" si="11"/>
        <v>0.6411</v>
      </c>
      <c r="G52" s="556">
        <f t="shared" si="12"/>
        <v>1.8840500000000002</v>
      </c>
      <c r="H52" s="556">
        <f t="shared" si="13"/>
        <v>2.2422</v>
      </c>
      <c r="I52" s="557">
        <v>1</v>
      </c>
      <c r="J52" s="372">
        <f t="shared" si="14"/>
        <v>1834.5810000000001</v>
      </c>
      <c r="K52" s="557">
        <v>1</v>
      </c>
      <c r="L52" s="556">
        <f t="shared" si="15"/>
        <v>0</v>
      </c>
      <c r="M52" s="565"/>
      <c r="N52" s="577">
        <f>N57/2</f>
        <v>1.9</v>
      </c>
      <c r="O52" s="577"/>
      <c r="P52" s="577">
        <f>P57</f>
        <v>0.17</v>
      </c>
      <c r="Q52" s="568"/>
      <c r="R52" s="577">
        <f>R57</f>
        <v>1.85</v>
      </c>
      <c r="S52" s="577"/>
      <c r="T52" s="577"/>
      <c r="U52" s="577"/>
      <c r="V52" s="577"/>
      <c r="W52" s="577"/>
      <c r="X52" s="568"/>
    </row>
    <row r="53" spans="1:24" ht="16.5" thickBot="1" x14ac:dyDescent="0.3">
      <c r="A53" s="568"/>
      <c r="B53" s="568"/>
      <c r="C53" s="579" t="s">
        <v>65</v>
      </c>
      <c r="D53" s="578"/>
      <c r="E53" s="556">
        <f t="shared" si="10"/>
        <v>0</v>
      </c>
      <c r="F53" s="556">
        <f t="shared" si="11"/>
        <v>0.80657999999999996</v>
      </c>
      <c r="G53" s="556">
        <f t="shared" si="12"/>
        <v>2.3575999999999997</v>
      </c>
      <c r="H53" s="556">
        <f t="shared" si="13"/>
        <v>2.8094099999999997</v>
      </c>
      <c r="I53" s="557">
        <v>1</v>
      </c>
      <c r="J53" s="372">
        <f t="shared" si="14"/>
        <v>2093.32645</v>
      </c>
      <c r="K53" s="557">
        <v>1</v>
      </c>
      <c r="L53" s="556">
        <f t="shared" si="15"/>
        <v>0</v>
      </c>
      <c r="M53" s="565"/>
      <c r="N53" s="577">
        <f>N58/2</f>
        <v>2.09</v>
      </c>
      <c r="O53" s="577"/>
      <c r="P53" s="577">
        <f>P58</f>
        <v>0.191</v>
      </c>
      <c r="Q53" s="568"/>
      <c r="R53" s="577">
        <f>R58</f>
        <v>2.34</v>
      </c>
      <c r="S53" s="577"/>
      <c r="T53" s="577"/>
      <c r="U53" s="577"/>
      <c r="V53" s="577"/>
      <c r="W53" s="577"/>
      <c r="X53" s="568"/>
    </row>
    <row r="54" spans="1:24" ht="16.5" thickBot="1" x14ac:dyDescent="0.3">
      <c r="A54" s="568"/>
      <c r="B54" s="568"/>
      <c r="C54" s="579" t="s">
        <v>66</v>
      </c>
      <c r="D54" s="578"/>
      <c r="E54" s="556">
        <f t="shared" si="10"/>
        <v>0</v>
      </c>
      <c r="F54" s="556">
        <f t="shared" si="11"/>
        <v>0.38250000000000006</v>
      </c>
      <c r="G54" s="556">
        <f t="shared" si="12"/>
        <v>1.1483800000000002</v>
      </c>
      <c r="H54" s="556">
        <f t="shared" si="13"/>
        <v>1.35975</v>
      </c>
      <c r="I54" s="557">
        <v>1</v>
      </c>
      <c r="J54" s="372">
        <f t="shared" si="14"/>
        <v>3091.6861699999999</v>
      </c>
      <c r="K54" s="557">
        <v>1</v>
      </c>
      <c r="L54" s="556">
        <f t="shared" si="15"/>
        <v>0</v>
      </c>
      <c r="M54" s="565"/>
      <c r="N54" s="577">
        <f>ROUND((3.59+10*0.5)/4,2)</f>
        <v>2.15</v>
      </c>
      <c r="O54" s="577"/>
      <c r="P54" s="577">
        <v>0.14499999999999999</v>
      </c>
      <c r="Q54" s="568"/>
      <c r="R54" s="577">
        <f>ROUND((0.704 +0.75 *0.5),2)</f>
        <v>1.08</v>
      </c>
      <c r="S54" s="577"/>
      <c r="T54" s="577"/>
      <c r="U54" s="577"/>
      <c r="V54" s="577"/>
      <c r="W54" s="577">
        <f t="shared" ref="W54:W60" si="16">R54*77.35</f>
        <v>83.537999999999997</v>
      </c>
      <c r="X54" s="568"/>
    </row>
    <row r="55" spans="1:24" ht="16.5" thickBot="1" x14ac:dyDescent="0.3">
      <c r="A55" s="568"/>
      <c r="B55" s="568"/>
      <c r="C55" s="579" t="s">
        <v>67</v>
      </c>
      <c r="D55" s="578"/>
      <c r="E55" s="556">
        <f t="shared" si="10"/>
        <v>0</v>
      </c>
      <c r="F55" s="556">
        <f t="shared" si="11"/>
        <v>0.43200000000000005</v>
      </c>
      <c r="G55" s="556">
        <f t="shared" si="12"/>
        <v>1.28653</v>
      </c>
      <c r="H55" s="556">
        <f t="shared" si="13"/>
        <v>1.5262500000000001</v>
      </c>
      <c r="I55" s="557">
        <v>1</v>
      </c>
      <c r="J55" s="372">
        <f t="shared" si="14"/>
        <v>3420.3953949999996</v>
      </c>
      <c r="K55" s="557">
        <v>1</v>
      </c>
      <c r="L55" s="556">
        <f t="shared" si="15"/>
        <v>0</v>
      </c>
      <c r="M55" s="565"/>
      <c r="N55" s="577">
        <f>ROUND((3.59+10*0.7)/4,2)</f>
        <v>2.65</v>
      </c>
      <c r="O55" s="577"/>
      <c r="P55" s="577">
        <v>0.14499999999999999</v>
      </c>
      <c r="Q55" s="568"/>
      <c r="R55" s="577">
        <f>ROUND((0.704 +0.75 *0.7),2)</f>
        <v>1.23</v>
      </c>
      <c r="S55" s="577"/>
      <c r="T55" s="577"/>
      <c r="U55" s="577"/>
      <c r="V55" s="577"/>
      <c r="W55" s="577">
        <f t="shared" si="16"/>
        <v>95.140499999999989</v>
      </c>
      <c r="X55" s="568"/>
    </row>
    <row r="56" spans="1:24" ht="16.5" thickBot="1" x14ac:dyDescent="0.3">
      <c r="A56" s="568"/>
      <c r="B56" s="568"/>
      <c r="C56" s="579" t="s">
        <v>68</v>
      </c>
      <c r="D56" s="578"/>
      <c r="E56" s="556">
        <f t="shared" si="10"/>
        <v>0</v>
      </c>
      <c r="F56" s="556">
        <f t="shared" si="11"/>
        <v>0.50459999999999994</v>
      </c>
      <c r="G56" s="556">
        <f t="shared" si="12"/>
        <v>1.48915</v>
      </c>
      <c r="H56" s="556">
        <f t="shared" si="13"/>
        <v>1.7704500000000001</v>
      </c>
      <c r="I56" s="557">
        <v>1</v>
      </c>
      <c r="J56" s="372">
        <f t="shared" si="14"/>
        <v>3903.4829249999993</v>
      </c>
      <c r="K56" s="557">
        <v>1</v>
      </c>
      <c r="L56" s="556">
        <f t="shared" si="15"/>
        <v>0</v>
      </c>
      <c r="M56" s="565"/>
      <c r="N56" s="577">
        <f>ROUND((3.59+10*1)/4,2)</f>
        <v>3.4</v>
      </c>
      <c r="O56" s="577">
        <f>(O55+O57)/2</f>
        <v>0</v>
      </c>
      <c r="P56" s="577">
        <v>0.14499999999999999</v>
      </c>
      <c r="Q56" s="568">
        <f>(Q55+Q57)/2</f>
        <v>0</v>
      </c>
      <c r="R56" s="577">
        <f>ROUND((0.704 +0.75 *1),2)</f>
        <v>1.45</v>
      </c>
      <c r="S56" s="577"/>
      <c r="T56" s="577"/>
      <c r="U56" s="577"/>
      <c r="V56" s="577"/>
      <c r="W56" s="577">
        <f t="shared" si="16"/>
        <v>112.15749999999998</v>
      </c>
      <c r="X56" s="568"/>
    </row>
    <row r="57" spans="1:24" ht="16.5" thickBot="1" x14ac:dyDescent="0.3">
      <c r="A57" s="568"/>
      <c r="B57" s="568"/>
      <c r="C57" s="579" t="s">
        <v>69</v>
      </c>
      <c r="D57" s="578"/>
      <c r="E57" s="556">
        <f t="shared" si="10"/>
        <v>0</v>
      </c>
      <c r="F57" s="556">
        <f t="shared" si="11"/>
        <v>0.6411</v>
      </c>
      <c r="G57" s="556">
        <f t="shared" si="12"/>
        <v>1.8840500000000002</v>
      </c>
      <c r="H57" s="556">
        <f t="shared" si="13"/>
        <v>2.2422</v>
      </c>
      <c r="I57" s="557">
        <v>1</v>
      </c>
      <c r="J57" s="372">
        <f t="shared" si="14"/>
        <v>4735.3472749999992</v>
      </c>
      <c r="K57" s="557">
        <v>1</v>
      </c>
      <c r="L57" s="556">
        <f t="shared" si="15"/>
        <v>0</v>
      </c>
      <c r="M57" s="565"/>
      <c r="N57" s="577">
        <f>ROUND((4+11.2*1)/4,2)</f>
        <v>3.8</v>
      </c>
      <c r="O57" s="577"/>
      <c r="P57" s="577">
        <v>0.17</v>
      </c>
      <c r="Q57" s="568"/>
      <c r="R57" s="577">
        <f>ROUND((0.843 +0.84*1.2),2)</f>
        <v>1.85</v>
      </c>
      <c r="S57" s="577"/>
      <c r="T57" s="577"/>
      <c r="U57" s="577"/>
      <c r="V57" s="577"/>
      <c r="W57" s="577">
        <f t="shared" si="16"/>
        <v>143.0975</v>
      </c>
      <c r="X57" s="568"/>
    </row>
    <row r="58" spans="1:24" ht="16.5" thickBot="1" x14ac:dyDescent="0.3">
      <c r="A58" s="568"/>
      <c r="B58" s="568"/>
      <c r="C58" s="579" t="s">
        <v>70</v>
      </c>
      <c r="D58" s="578"/>
      <c r="E58" s="556">
        <f t="shared" si="10"/>
        <v>0</v>
      </c>
      <c r="F58" s="556">
        <f t="shared" si="11"/>
        <v>0.80657999999999996</v>
      </c>
      <c r="G58" s="556">
        <f t="shared" si="12"/>
        <v>2.3575999999999997</v>
      </c>
      <c r="H58" s="556">
        <f t="shared" si="13"/>
        <v>2.8094099999999997</v>
      </c>
      <c r="I58" s="557">
        <v>1</v>
      </c>
      <c r="J58" s="372">
        <f t="shared" si="14"/>
        <v>5743.9725599999983</v>
      </c>
      <c r="K58" s="557">
        <v>1</v>
      </c>
      <c r="L58" s="556">
        <f t="shared" si="15"/>
        <v>0</v>
      </c>
      <c r="M58" s="565"/>
      <c r="N58" s="577">
        <f>ROUND((4.53+12.2*1)/4,2)</f>
        <v>4.18</v>
      </c>
      <c r="O58" s="577"/>
      <c r="P58" s="577">
        <v>0.191</v>
      </c>
      <c r="Q58" s="568"/>
      <c r="R58" s="577">
        <f>ROUND((0.968 +0.915 *1.5),2)</f>
        <v>2.34</v>
      </c>
      <c r="S58" s="577"/>
      <c r="T58" s="577"/>
      <c r="U58" s="577"/>
      <c r="V58" s="577"/>
      <c r="W58" s="577">
        <f t="shared" si="16"/>
        <v>180.99899999999997</v>
      </c>
      <c r="X58" s="568"/>
    </row>
    <row r="59" spans="1:24" ht="16.5" thickBot="1" x14ac:dyDescent="0.3">
      <c r="A59" s="568"/>
      <c r="B59" s="568"/>
      <c r="C59" s="579" t="s">
        <v>71</v>
      </c>
      <c r="D59" s="578"/>
      <c r="E59" s="556">
        <f t="shared" si="10"/>
        <v>0</v>
      </c>
      <c r="F59" s="556">
        <f t="shared" si="11"/>
        <v>0.89753699999999992</v>
      </c>
      <c r="G59" s="556">
        <f t="shared" si="12"/>
        <v>2.6274289999999998</v>
      </c>
      <c r="H59" s="556">
        <f t="shared" si="13"/>
        <v>3.1298114999999997</v>
      </c>
      <c r="I59" s="557">
        <v>1</v>
      </c>
      <c r="J59" s="372">
        <f t="shared" si="14"/>
        <v>6301.7848786111099</v>
      </c>
      <c r="K59" s="557">
        <v>1</v>
      </c>
      <c r="L59" s="556">
        <f t="shared" si="15"/>
        <v>0</v>
      </c>
      <c r="M59" s="565"/>
      <c r="N59" s="577">
        <f>N58/1.8*2</f>
        <v>4.6444444444444439</v>
      </c>
      <c r="O59" s="577"/>
      <c r="P59" s="577">
        <f>P58*1.15</f>
        <v>0.21964999999999998</v>
      </c>
      <c r="Q59" s="568"/>
      <c r="R59" s="577">
        <f>R58/1.8*2</f>
        <v>2.5999999999999996</v>
      </c>
      <c r="S59" s="577"/>
      <c r="T59" s="577"/>
      <c r="U59" s="577"/>
      <c r="V59" s="577"/>
      <c r="W59" s="577">
        <f t="shared" si="16"/>
        <v>201.10999999999996</v>
      </c>
      <c r="X59" s="568"/>
    </row>
    <row r="60" spans="1:24" ht="16.5" thickBot="1" x14ac:dyDescent="0.3">
      <c r="A60" s="568"/>
      <c r="B60" s="568"/>
      <c r="C60" s="579" t="s">
        <v>72</v>
      </c>
      <c r="D60" s="578"/>
      <c r="E60" s="556">
        <f t="shared" si="10"/>
        <v>0</v>
      </c>
      <c r="F60" s="556">
        <f t="shared" si="11"/>
        <v>1.1179675499999999</v>
      </c>
      <c r="G60" s="556">
        <f t="shared" si="12"/>
        <v>3.2610033499999997</v>
      </c>
      <c r="H60" s="556">
        <f t="shared" si="13"/>
        <v>3.8878832249999999</v>
      </c>
      <c r="I60" s="557">
        <v>1</v>
      </c>
      <c r="J60" s="372">
        <f t="shared" si="14"/>
        <v>7680.4985115138879</v>
      </c>
      <c r="K60" s="557">
        <v>1</v>
      </c>
      <c r="L60" s="556">
        <f t="shared" si="15"/>
        <v>0</v>
      </c>
      <c r="M60" s="565"/>
      <c r="N60" s="577">
        <f>N59/2*2.5</f>
        <v>5.8055555555555554</v>
      </c>
      <c r="O60" s="577"/>
      <c r="P60" s="577">
        <f>P59*1.15</f>
        <v>0.25259749999999997</v>
      </c>
      <c r="Q60" s="568"/>
      <c r="R60" s="577">
        <f>R59/2*2.5</f>
        <v>3.2499999999999996</v>
      </c>
      <c r="S60" s="577"/>
      <c r="T60" s="577"/>
      <c r="U60" s="577"/>
      <c r="V60" s="577"/>
      <c r="W60" s="577">
        <f t="shared" si="16"/>
        <v>251.38749999999996</v>
      </c>
      <c r="X60" s="568"/>
    </row>
    <row r="61" spans="1:24" ht="16.5" thickBot="1" x14ac:dyDescent="0.3">
      <c r="A61" s="568"/>
      <c r="B61" s="568"/>
      <c r="C61" s="579" t="s">
        <v>135</v>
      </c>
      <c r="D61" s="578"/>
      <c r="E61" s="556">
        <f t="shared" si="10"/>
        <v>0</v>
      </c>
      <c r="F61" s="556">
        <f t="shared" si="11"/>
        <v>0.11253000000000002</v>
      </c>
      <c r="G61" s="556">
        <f t="shared" si="12"/>
        <v>0.31406100000000003</v>
      </c>
      <c r="H61" s="556">
        <f t="shared" si="13"/>
        <v>0.37851000000000007</v>
      </c>
      <c r="I61" s="557"/>
      <c r="J61" s="372">
        <f t="shared" si="14"/>
        <v>707.76571000000001</v>
      </c>
      <c r="K61" s="557"/>
      <c r="L61" s="556">
        <f t="shared" si="15"/>
        <v>0</v>
      </c>
      <c r="M61" s="565"/>
      <c r="N61" s="577">
        <f>2+1.56+0.72</f>
        <v>4.28</v>
      </c>
      <c r="O61" s="577"/>
      <c r="P61" s="577"/>
      <c r="Q61" s="568"/>
      <c r="R61" s="577">
        <f>0.1+0.16+0.081</f>
        <v>0.34100000000000003</v>
      </c>
      <c r="S61" s="577"/>
      <c r="T61" s="577"/>
      <c r="U61" s="577"/>
      <c r="V61" s="577"/>
      <c r="W61" s="577">
        <f>1.32+4.11+4.74+1.69+3</f>
        <v>14.860000000000001</v>
      </c>
      <c r="X61" s="568"/>
    </row>
    <row r="62" spans="1:24" ht="16.5" thickBot="1" x14ac:dyDescent="0.3">
      <c r="A62" s="568"/>
      <c r="B62" s="568"/>
      <c r="C62" s="579" t="s">
        <v>136</v>
      </c>
      <c r="D62" s="578"/>
      <c r="E62" s="556">
        <f t="shared" si="10"/>
        <v>0</v>
      </c>
      <c r="F62" s="556">
        <f t="shared" si="11"/>
        <v>0.12243000000000002</v>
      </c>
      <c r="G62" s="556">
        <f t="shared" si="12"/>
        <v>0.34169100000000008</v>
      </c>
      <c r="H62" s="556">
        <f t="shared" si="13"/>
        <v>0.41181000000000012</v>
      </c>
      <c r="I62" s="557"/>
      <c r="J62" s="372">
        <f t="shared" si="14"/>
        <v>802.57491000000005</v>
      </c>
      <c r="K62" s="557"/>
      <c r="L62" s="556">
        <f t="shared" si="15"/>
        <v>0</v>
      </c>
      <c r="M62" s="565"/>
      <c r="N62" s="577">
        <f>2+1.76+0.72</f>
        <v>4.4799999999999995</v>
      </c>
      <c r="O62" s="577"/>
      <c r="P62" s="577"/>
      <c r="Q62" s="568"/>
      <c r="R62" s="577">
        <f>0.1+0.19+0.081</f>
        <v>0.37100000000000005</v>
      </c>
      <c r="S62" s="577"/>
      <c r="T62" s="577"/>
      <c r="U62" s="577"/>
      <c r="V62" s="577"/>
      <c r="W62" s="577">
        <f>1.32+4.11+7.42+2.52+3</f>
        <v>18.37</v>
      </c>
      <c r="X62" s="568"/>
    </row>
    <row r="63" spans="1:24" ht="16.5" thickBot="1" x14ac:dyDescent="0.3">
      <c r="A63" s="568"/>
      <c r="B63" s="568"/>
      <c r="C63" s="579" t="s">
        <v>137</v>
      </c>
      <c r="D63" s="578"/>
      <c r="E63" s="556">
        <f t="shared" si="10"/>
        <v>0</v>
      </c>
      <c r="F63" s="556">
        <f t="shared" si="11"/>
        <v>0.13233</v>
      </c>
      <c r="G63" s="556">
        <f t="shared" si="12"/>
        <v>0.36932100000000001</v>
      </c>
      <c r="H63" s="556">
        <f t="shared" si="13"/>
        <v>0.44511000000000006</v>
      </c>
      <c r="I63" s="557"/>
      <c r="J63" s="372">
        <f t="shared" si="14"/>
        <v>915.5098099999999</v>
      </c>
      <c r="K63" s="557"/>
      <c r="L63" s="556">
        <f t="shared" si="15"/>
        <v>0</v>
      </c>
      <c r="M63" s="565"/>
      <c r="N63" s="577">
        <f>2+1.96+0.72</f>
        <v>4.68</v>
      </c>
      <c r="O63" s="577"/>
      <c r="P63" s="577"/>
      <c r="Q63" s="568"/>
      <c r="R63" s="577">
        <f>0.1+0.22+0.081</f>
        <v>0.40100000000000002</v>
      </c>
      <c r="S63" s="577"/>
      <c r="T63" s="577"/>
      <c r="U63" s="577"/>
      <c r="V63" s="577"/>
      <c r="W63" s="577">
        <f>1.32+4.11+10.23+3.15+4</f>
        <v>22.81</v>
      </c>
      <c r="X63" s="568"/>
    </row>
    <row r="64" spans="1:24" ht="16.5" thickBot="1" x14ac:dyDescent="0.3">
      <c r="A64" s="568"/>
      <c r="B64" s="568"/>
      <c r="C64" s="579" t="s">
        <v>138</v>
      </c>
      <c r="D64" s="578"/>
      <c r="E64" s="556">
        <f t="shared" si="10"/>
        <v>0</v>
      </c>
      <c r="F64" s="556">
        <f t="shared" si="11"/>
        <v>0.38417000000000001</v>
      </c>
      <c r="G64" s="556">
        <f t="shared" si="12"/>
        <v>1.55436</v>
      </c>
      <c r="H64" s="556">
        <f t="shared" si="13"/>
        <v>2.9078100000000004</v>
      </c>
      <c r="I64" s="557"/>
      <c r="J64" s="372">
        <f t="shared" si="14"/>
        <v>911.90959999999995</v>
      </c>
      <c r="K64" s="557"/>
      <c r="L64" s="556">
        <f t="shared" si="15"/>
        <v>0</v>
      </c>
      <c r="M64" s="565">
        <v>1.22</v>
      </c>
      <c r="N64" s="577">
        <f>7.413/3</f>
        <v>2.4710000000000001</v>
      </c>
      <c r="O64" s="577"/>
      <c r="P64" s="577"/>
      <c r="Q64" s="568">
        <v>0.97099999999999997</v>
      </c>
      <c r="R64" s="577"/>
      <c r="S64" s="577"/>
      <c r="T64" s="577"/>
      <c r="U64" s="577"/>
      <c r="V64" s="577"/>
      <c r="W64" s="577"/>
      <c r="X64" s="568"/>
    </row>
    <row r="65" spans="1:24" ht="16.5" thickBot="1" x14ac:dyDescent="0.3">
      <c r="A65" s="568"/>
      <c r="B65" s="568"/>
      <c r="C65" s="579" t="s">
        <v>139</v>
      </c>
      <c r="D65" s="578"/>
      <c r="E65" s="556">
        <f t="shared" si="10"/>
        <v>0</v>
      </c>
      <c r="F65" s="556">
        <f t="shared" si="11"/>
        <v>0.47295000000000004</v>
      </c>
      <c r="G65" s="556">
        <f t="shared" si="12"/>
        <v>1.9178999999999999</v>
      </c>
      <c r="H65" s="556">
        <f t="shared" si="13"/>
        <v>3.6103500000000004</v>
      </c>
      <c r="I65" s="557"/>
      <c r="J65" s="372">
        <f t="shared" si="14"/>
        <v>1106.2313666666669</v>
      </c>
      <c r="K65" s="557"/>
      <c r="L65" s="556">
        <f t="shared" si="15"/>
        <v>0</v>
      </c>
      <c r="M65" s="565">
        <v>1.53</v>
      </c>
      <c r="N65" s="577">
        <f>8.15/3</f>
        <v>2.7166666666666668</v>
      </c>
      <c r="O65" s="577"/>
      <c r="P65" s="577"/>
      <c r="Q65" s="568">
        <v>1.1850000000000001</v>
      </c>
      <c r="R65" s="577"/>
      <c r="S65" s="577"/>
      <c r="T65" s="577"/>
      <c r="U65" s="577"/>
      <c r="V65" s="577"/>
      <c r="W65" s="577"/>
      <c r="X65" s="568"/>
    </row>
    <row r="66" spans="1:24" ht="16.5" thickBot="1" x14ac:dyDescent="0.3">
      <c r="A66" s="568"/>
      <c r="B66" s="568"/>
      <c r="C66" s="579" t="s">
        <v>140</v>
      </c>
      <c r="D66" s="578"/>
      <c r="E66" s="556">
        <f t="shared" si="10"/>
        <v>0</v>
      </c>
      <c r="F66" s="556">
        <f t="shared" si="11"/>
        <v>0.75196000000000007</v>
      </c>
      <c r="G66" s="556">
        <f t="shared" si="12"/>
        <v>3.0643799999999999</v>
      </c>
      <c r="H66" s="556">
        <f t="shared" si="13"/>
        <v>5.8462800000000001</v>
      </c>
      <c r="I66" s="557"/>
      <c r="J66" s="372">
        <f t="shared" si="14"/>
        <v>1730.68758</v>
      </c>
      <c r="K66" s="557"/>
      <c r="L66" s="556">
        <f t="shared" si="15"/>
        <v>0</v>
      </c>
      <c r="M66" s="565">
        <v>2.5299999999999998</v>
      </c>
      <c r="N66" s="577">
        <f>11.04/3</f>
        <v>3.6799999999999997</v>
      </c>
      <c r="O66" s="577"/>
      <c r="P66" s="577"/>
      <c r="Q66" s="568">
        <v>1.8480000000000001</v>
      </c>
      <c r="R66" s="577"/>
      <c r="S66" s="577"/>
      <c r="T66" s="577"/>
      <c r="U66" s="577"/>
      <c r="V66" s="577"/>
      <c r="W66" s="577"/>
      <c r="X66" s="568"/>
    </row>
    <row r="67" spans="1:24" ht="16.5" thickBot="1" x14ac:dyDescent="0.3">
      <c r="A67" s="568"/>
      <c r="B67" s="568"/>
      <c r="C67" s="579" t="s">
        <v>73</v>
      </c>
      <c r="D67" s="578"/>
      <c r="E67" s="556">
        <f t="shared" ref="E67:E82" si="17">O67*0.846</f>
        <v>0</v>
      </c>
      <c r="F67" s="556">
        <f t="shared" ref="F67:F82" si="18">A67*0.27*0.7+M67*0.1+O67*0.0588+P67*0.18+Q67*0.27+R67*0.33+S67*0.344+T67*0.005*0.434</f>
        <v>1.08901</v>
      </c>
      <c r="G67" s="556">
        <f t="shared" ref="G67:G82" si="19">A67*0.921*0.7+M67*0.51+O67*0.396+P67*1.06+Q67*0.96+R67*0.921+S67*1.02+T67*0.005*1.575</f>
        <v>4.4434800000000001</v>
      </c>
      <c r="H67" s="556">
        <f t="shared" ref="H67:H82" si="20">A67*1.11*0.7+M67*1.5+P67*1.11+Q67*1.11+R67*1.11+S67*1.11</f>
        <v>8.5059300000000011</v>
      </c>
      <c r="I67" s="557"/>
      <c r="J67" s="372">
        <f t="shared" ref="J67:J81" si="21">A67*345.22+M67*265.87+N67*58.84+O67*578+P67*408.95+Q67*455.36+R67*487.71+S67*495.4+T67*449.92*0.005+U67*20.24+V67*17.84+W67*19.49+X67*363.12+K67*449.35+I67*301.65</f>
        <v>2471.9100133333332</v>
      </c>
      <c r="K67" s="557"/>
      <c r="L67" s="556">
        <f t="shared" ref="L67:L82" si="22">O67*0.0282</f>
        <v>0</v>
      </c>
      <c r="M67" s="565">
        <v>3.7</v>
      </c>
      <c r="N67" s="577">
        <f>14.05/3</f>
        <v>4.6833333333333336</v>
      </c>
      <c r="O67" s="577"/>
      <c r="P67" s="577"/>
      <c r="Q67" s="568">
        <v>2.6629999999999998</v>
      </c>
      <c r="R67" s="577"/>
      <c r="S67" s="577"/>
      <c r="T67" s="577"/>
      <c r="U67" s="577"/>
      <c r="V67" s="577"/>
      <c r="W67" s="577"/>
      <c r="X67" s="568"/>
    </row>
    <row r="68" spans="1:24" ht="16.5" thickBot="1" x14ac:dyDescent="0.3">
      <c r="A68" s="568"/>
      <c r="B68" s="568"/>
      <c r="C68" s="579" t="s">
        <v>74</v>
      </c>
      <c r="D68" s="578"/>
      <c r="E68" s="556">
        <f t="shared" si="17"/>
        <v>0</v>
      </c>
      <c r="F68" s="556">
        <f t="shared" si="18"/>
        <v>1.4740100000000003</v>
      </c>
      <c r="G68" s="556">
        <f t="shared" si="19"/>
        <v>6.0316799999999997</v>
      </c>
      <c r="H68" s="556">
        <f t="shared" si="20"/>
        <v>11.634930000000001</v>
      </c>
      <c r="I68" s="557"/>
      <c r="J68" s="372">
        <f t="shared" si="21"/>
        <v>3327.3276800000003</v>
      </c>
      <c r="K68" s="557"/>
      <c r="L68" s="556">
        <f t="shared" si="22"/>
        <v>0</v>
      </c>
      <c r="M68" s="565">
        <v>5.12</v>
      </c>
      <c r="N68" s="577">
        <f>17.52/3</f>
        <v>5.84</v>
      </c>
      <c r="O68" s="577"/>
      <c r="P68" s="577"/>
      <c r="Q68" s="568">
        <v>3.5630000000000002</v>
      </c>
      <c r="R68" s="577"/>
      <c r="S68" s="577"/>
      <c r="T68" s="577"/>
      <c r="U68" s="577"/>
      <c r="V68" s="577"/>
      <c r="W68" s="577"/>
      <c r="X68" s="568"/>
    </row>
    <row r="69" spans="1:24" ht="16.5" thickBot="1" x14ac:dyDescent="0.3">
      <c r="A69" s="568"/>
      <c r="B69" s="568"/>
      <c r="C69" s="579" t="s">
        <v>75</v>
      </c>
      <c r="D69" s="578"/>
      <c r="E69" s="556">
        <f t="shared" si="17"/>
        <v>0</v>
      </c>
      <c r="F69" s="556">
        <f t="shared" si="18"/>
        <v>2.41967</v>
      </c>
      <c r="G69" s="556">
        <f t="shared" si="19"/>
        <v>9.9546600000000005</v>
      </c>
      <c r="H69" s="556">
        <f t="shared" si="20"/>
        <v>19.47531</v>
      </c>
      <c r="I69" s="557"/>
      <c r="J69" s="372">
        <f t="shared" si="21"/>
        <v>5392.3903933333331</v>
      </c>
      <c r="K69" s="557"/>
      <c r="L69" s="556">
        <f t="shared" si="22"/>
        <v>0</v>
      </c>
      <c r="M69" s="565">
        <v>8.75</v>
      </c>
      <c r="N69" s="577">
        <f>23.5/3</f>
        <v>7.833333333333333</v>
      </c>
      <c r="O69" s="577"/>
      <c r="P69" s="577"/>
      <c r="Q69" s="568">
        <v>5.7210000000000001</v>
      </c>
      <c r="R69" s="577"/>
      <c r="S69" s="577"/>
      <c r="T69" s="577"/>
      <c r="U69" s="577"/>
      <c r="V69" s="577"/>
      <c r="W69" s="577"/>
      <c r="X69" s="568"/>
    </row>
    <row r="70" spans="1:24" ht="16.5" thickBot="1" x14ac:dyDescent="0.3">
      <c r="A70" s="574"/>
      <c r="B70" s="574"/>
      <c r="C70" s="573" t="s">
        <v>141</v>
      </c>
      <c r="D70" s="576"/>
      <c r="E70" s="556">
        <f t="shared" si="17"/>
        <v>0</v>
      </c>
      <c r="F70" s="556">
        <f t="shared" si="18"/>
        <v>0</v>
      </c>
      <c r="G70" s="556">
        <f t="shared" si="19"/>
        <v>0</v>
      </c>
      <c r="H70" s="556">
        <f t="shared" si="20"/>
        <v>0</v>
      </c>
      <c r="I70" s="1"/>
      <c r="J70" s="372">
        <f t="shared" si="21"/>
        <v>0</v>
      </c>
      <c r="K70" s="2"/>
      <c r="L70" s="556">
        <f t="shared" si="22"/>
        <v>0</v>
      </c>
      <c r="M70" s="571"/>
      <c r="N70" s="571"/>
      <c r="O70" s="575"/>
      <c r="P70" s="569"/>
      <c r="Q70" s="574"/>
      <c r="R70" s="571"/>
      <c r="S70" s="571"/>
      <c r="T70" s="571"/>
      <c r="U70" s="571"/>
      <c r="V70" s="571"/>
      <c r="W70" s="571"/>
      <c r="X70" s="574"/>
    </row>
    <row r="71" spans="1:24" ht="16.5" thickBot="1" x14ac:dyDescent="0.3">
      <c r="A71" s="574"/>
      <c r="B71" s="574"/>
      <c r="C71" s="573" t="s">
        <v>142</v>
      </c>
      <c r="D71" s="576"/>
      <c r="E71" s="556">
        <f t="shared" si="17"/>
        <v>0</v>
      </c>
      <c r="F71" s="556">
        <f t="shared" si="18"/>
        <v>0</v>
      </c>
      <c r="G71" s="556">
        <f t="shared" si="19"/>
        <v>0</v>
      </c>
      <c r="H71" s="556">
        <f t="shared" si="20"/>
        <v>0</v>
      </c>
      <c r="I71" s="1"/>
      <c r="J71" s="372">
        <f t="shared" si="21"/>
        <v>0</v>
      </c>
      <c r="K71" s="2"/>
      <c r="L71" s="556">
        <f t="shared" si="22"/>
        <v>0</v>
      </c>
      <c r="M71" s="571"/>
      <c r="N71" s="571"/>
      <c r="O71" s="575"/>
      <c r="P71" s="569"/>
      <c r="Q71" s="574"/>
      <c r="R71" s="571"/>
      <c r="S71" s="571"/>
      <c r="T71" s="571"/>
      <c r="U71" s="571"/>
      <c r="V71" s="571"/>
      <c r="W71" s="571"/>
      <c r="X71" s="574"/>
    </row>
    <row r="72" spans="1:24" ht="16.5" thickBot="1" x14ac:dyDescent="0.3">
      <c r="A72" s="574"/>
      <c r="B72" s="574"/>
      <c r="C72" s="573" t="s">
        <v>143</v>
      </c>
      <c r="D72" s="576"/>
      <c r="E72" s="556">
        <f t="shared" si="17"/>
        <v>0</v>
      </c>
      <c r="F72" s="556">
        <f t="shared" si="18"/>
        <v>0</v>
      </c>
      <c r="G72" s="556">
        <f t="shared" si="19"/>
        <v>0</v>
      </c>
      <c r="H72" s="556">
        <f t="shared" si="20"/>
        <v>0</v>
      </c>
      <c r="I72" s="1"/>
      <c r="J72" s="372">
        <f t="shared" si="21"/>
        <v>0</v>
      </c>
      <c r="K72" s="2"/>
      <c r="L72" s="556">
        <f t="shared" si="22"/>
        <v>0</v>
      </c>
      <c r="M72" s="571"/>
      <c r="N72" s="571"/>
      <c r="O72" s="575"/>
      <c r="P72" s="569"/>
      <c r="Q72" s="574"/>
      <c r="R72" s="571"/>
      <c r="S72" s="571"/>
      <c r="T72" s="571"/>
      <c r="U72" s="571"/>
      <c r="V72" s="571"/>
      <c r="W72" s="571"/>
      <c r="X72" s="574"/>
    </row>
    <row r="73" spans="1:24" ht="16.5" thickBot="1" x14ac:dyDescent="0.3">
      <c r="A73" s="574"/>
      <c r="B73" s="574"/>
      <c r="C73" s="573" t="s">
        <v>144</v>
      </c>
      <c r="D73" s="576"/>
      <c r="E73" s="556">
        <f t="shared" si="17"/>
        <v>0</v>
      </c>
      <c r="F73" s="556">
        <f t="shared" si="18"/>
        <v>0</v>
      </c>
      <c r="G73" s="556">
        <f t="shared" si="19"/>
        <v>0</v>
      </c>
      <c r="H73" s="556">
        <f t="shared" si="20"/>
        <v>0</v>
      </c>
      <c r="I73" s="1"/>
      <c r="J73" s="372">
        <f t="shared" si="21"/>
        <v>0</v>
      </c>
      <c r="K73" s="2"/>
      <c r="L73" s="556">
        <f t="shared" si="22"/>
        <v>0</v>
      </c>
      <c r="M73" s="571"/>
      <c r="N73" s="571"/>
      <c r="O73" s="575"/>
      <c r="P73" s="569"/>
      <c r="Q73" s="574"/>
      <c r="R73" s="571"/>
      <c r="S73" s="571"/>
      <c r="T73" s="571"/>
      <c r="U73" s="571"/>
      <c r="V73" s="571"/>
      <c r="W73" s="571"/>
      <c r="X73" s="574"/>
    </row>
    <row r="74" spans="1:24" ht="16.5" thickBot="1" x14ac:dyDescent="0.3">
      <c r="A74" s="574"/>
      <c r="B74" s="574"/>
      <c r="C74" s="573" t="s">
        <v>145</v>
      </c>
      <c r="D74" s="576"/>
      <c r="E74" s="556">
        <f t="shared" si="17"/>
        <v>0</v>
      </c>
      <c r="F74" s="556">
        <f t="shared" si="18"/>
        <v>0</v>
      </c>
      <c r="G74" s="556">
        <f t="shared" si="19"/>
        <v>0</v>
      </c>
      <c r="H74" s="556">
        <f t="shared" si="20"/>
        <v>0</v>
      </c>
      <c r="I74" s="1"/>
      <c r="J74" s="372">
        <f t="shared" si="21"/>
        <v>0</v>
      </c>
      <c r="K74" s="2"/>
      <c r="L74" s="556">
        <f t="shared" si="22"/>
        <v>0</v>
      </c>
      <c r="M74" s="571"/>
      <c r="N74" s="571"/>
      <c r="O74" s="575"/>
      <c r="P74" s="569"/>
      <c r="Q74" s="574"/>
      <c r="R74" s="571"/>
      <c r="S74" s="571"/>
      <c r="T74" s="571"/>
      <c r="U74" s="571"/>
      <c r="V74" s="571"/>
      <c r="W74" s="571"/>
      <c r="X74" s="574"/>
    </row>
    <row r="75" spans="1:24" ht="16.5" thickBot="1" x14ac:dyDescent="0.3">
      <c r="A75" s="574"/>
      <c r="B75" s="574"/>
      <c r="C75" s="573" t="s">
        <v>146</v>
      </c>
      <c r="D75" s="576"/>
      <c r="E75" s="556">
        <f t="shared" si="17"/>
        <v>0</v>
      </c>
      <c r="F75" s="556">
        <f t="shared" si="18"/>
        <v>0</v>
      </c>
      <c r="G75" s="556">
        <f t="shared" si="19"/>
        <v>0</v>
      </c>
      <c r="H75" s="556">
        <f t="shared" si="20"/>
        <v>0</v>
      </c>
      <c r="I75" s="1"/>
      <c r="J75" s="372">
        <f t="shared" si="21"/>
        <v>0</v>
      </c>
      <c r="K75" s="2"/>
      <c r="L75" s="556">
        <f t="shared" si="22"/>
        <v>0</v>
      </c>
      <c r="M75" s="571"/>
      <c r="N75" s="571"/>
      <c r="O75" s="575"/>
      <c r="P75" s="569"/>
      <c r="Q75" s="574"/>
      <c r="R75" s="571"/>
      <c r="S75" s="571"/>
      <c r="T75" s="571"/>
      <c r="U75" s="571"/>
      <c r="V75" s="571"/>
      <c r="W75" s="571"/>
      <c r="X75" s="574"/>
    </row>
    <row r="76" spans="1:24" ht="16.5" thickBot="1" x14ac:dyDescent="0.3">
      <c r="A76" s="574"/>
      <c r="B76" s="574"/>
      <c r="C76" s="573" t="s">
        <v>147</v>
      </c>
      <c r="D76" s="576"/>
      <c r="E76" s="556">
        <f t="shared" si="17"/>
        <v>0</v>
      </c>
      <c r="F76" s="556">
        <f t="shared" si="18"/>
        <v>0</v>
      </c>
      <c r="G76" s="556">
        <f t="shared" si="19"/>
        <v>0</v>
      </c>
      <c r="H76" s="556">
        <f t="shared" si="20"/>
        <v>0</v>
      </c>
      <c r="I76" s="1"/>
      <c r="J76" s="372">
        <f t="shared" si="21"/>
        <v>0</v>
      </c>
      <c r="K76" s="2"/>
      <c r="L76" s="556">
        <f t="shared" si="22"/>
        <v>0</v>
      </c>
      <c r="M76" s="571"/>
      <c r="N76" s="571"/>
      <c r="O76" s="575"/>
      <c r="P76" s="569"/>
      <c r="Q76" s="574"/>
      <c r="R76" s="571"/>
      <c r="S76" s="571"/>
      <c r="T76" s="571"/>
      <c r="U76" s="571"/>
      <c r="V76" s="571"/>
      <c r="W76" s="571"/>
      <c r="X76" s="574"/>
    </row>
    <row r="77" spans="1:24" ht="16.5" thickBot="1" x14ac:dyDescent="0.3">
      <c r="A77" s="574"/>
      <c r="B77" s="574"/>
      <c r="C77" s="573" t="s">
        <v>148</v>
      </c>
      <c r="D77" s="576"/>
      <c r="E77" s="556">
        <f t="shared" si="17"/>
        <v>0</v>
      </c>
      <c r="F77" s="556">
        <f t="shared" si="18"/>
        <v>0</v>
      </c>
      <c r="G77" s="556">
        <f t="shared" si="19"/>
        <v>0</v>
      </c>
      <c r="H77" s="556">
        <f t="shared" si="20"/>
        <v>0</v>
      </c>
      <c r="I77" s="1"/>
      <c r="J77" s="372">
        <f t="shared" si="21"/>
        <v>0</v>
      </c>
      <c r="K77" s="2"/>
      <c r="L77" s="556">
        <f t="shared" si="22"/>
        <v>0</v>
      </c>
      <c r="M77" s="571"/>
      <c r="N77" s="571"/>
      <c r="O77" s="575"/>
      <c r="P77" s="569"/>
      <c r="Q77" s="574"/>
      <c r="R77" s="571"/>
      <c r="S77" s="571"/>
      <c r="T77" s="571"/>
      <c r="U77" s="571"/>
      <c r="V77" s="571"/>
      <c r="W77" s="571"/>
      <c r="X77" s="574"/>
    </row>
    <row r="78" spans="1:24" ht="16.5" thickBot="1" x14ac:dyDescent="0.3">
      <c r="A78" s="574"/>
      <c r="B78" s="574"/>
      <c r="C78" s="573" t="s">
        <v>149</v>
      </c>
      <c r="D78" s="576"/>
      <c r="E78" s="556">
        <f t="shared" si="17"/>
        <v>0</v>
      </c>
      <c r="F78" s="556">
        <f t="shared" si="18"/>
        <v>0</v>
      </c>
      <c r="G78" s="556">
        <f t="shared" si="19"/>
        <v>0</v>
      </c>
      <c r="H78" s="556">
        <f t="shared" si="20"/>
        <v>0</v>
      </c>
      <c r="I78" s="1"/>
      <c r="J78" s="372">
        <f t="shared" si="21"/>
        <v>0</v>
      </c>
      <c r="K78" s="2"/>
      <c r="L78" s="556">
        <f t="shared" si="22"/>
        <v>0</v>
      </c>
      <c r="M78" s="571"/>
      <c r="N78" s="571"/>
      <c r="O78" s="575"/>
      <c r="P78" s="569"/>
      <c r="Q78" s="574"/>
      <c r="R78" s="571"/>
      <c r="S78" s="571"/>
      <c r="T78" s="571"/>
      <c r="U78" s="571"/>
      <c r="V78" s="571"/>
      <c r="W78" s="571"/>
      <c r="X78" s="574"/>
    </row>
    <row r="79" spans="1:24" ht="16.5" thickBot="1" x14ac:dyDescent="0.3">
      <c r="A79" s="574"/>
      <c r="B79" s="574"/>
      <c r="C79" s="573" t="s">
        <v>150</v>
      </c>
      <c r="D79" s="576"/>
      <c r="E79" s="556">
        <f t="shared" si="17"/>
        <v>0</v>
      </c>
      <c r="F79" s="556">
        <f t="shared" si="18"/>
        <v>0</v>
      </c>
      <c r="G79" s="556">
        <f t="shared" si="19"/>
        <v>0</v>
      </c>
      <c r="H79" s="556">
        <f t="shared" si="20"/>
        <v>0</v>
      </c>
      <c r="I79" s="1"/>
      <c r="J79" s="372">
        <f t="shared" si="21"/>
        <v>0</v>
      </c>
      <c r="K79" s="2"/>
      <c r="L79" s="556">
        <f t="shared" si="22"/>
        <v>0</v>
      </c>
      <c r="M79" s="571"/>
      <c r="N79" s="571"/>
      <c r="O79" s="575"/>
      <c r="P79" s="569"/>
      <c r="Q79" s="574"/>
      <c r="R79" s="571"/>
      <c r="S79" s="571"/>
      <c r="T79" s="571"/>
      <c r="U79" s="571"/>
      <c r="V79" s="571"/>
      <c r="W79" s="571"/>
      <c r="X79" s="574"/>
    </row>
    <row r="80" spans="1:24" ht="15" customHeight="1" thickBot="1" x14ac:dyDescent="0.3">
      <c r="A80" s="574"/>
      <c r="B80" s="574"/>
      <c r="C80" s="573"/>
      <c r="D80" s="572"/>
      <c r="E80" s="556">
        <f t="shared" si="17"/>
        <v>0</v>
      </c>
      <c r="F80" s="556">
        <f t="shared" si="18"/>
        <v>0</v>
      </c>
      <c r="G80" s="556">
        <f t="shared" si="19"/>
        <v>0</v>
      </c>
      <c r="H80" s="556">
        <f t="shared" si="20"/>
        <v>0</v>
      </c>
      <c r="I80" s="1"/>
      <c r="J80" s="372">
        <f t="shared" si="21"/>
        <v>0</v>
      </c>
      <c r="K80" s="2"/>
      <c r="L80" s="556">
        <f t="shared" si="22"/>
        <v>0</v>
      </c>
      <c r="M80" s="571"/>
      <c r="N80" s="570"/>
      <c r="O80" s="570"/>
      <c r="P80" s="569"/>
      <c r="Q80" s="569"/>
      <c r="R80" s="569"/>
      <c r="S80" s="569"/>
      <c r="T80" s="569"/>
      <c r="U80" s="569"/>
      <c r="V80" s="569"/>
      <c r="W80" s="569"/>
      <c r="X80" s="569"/>
    </row>
    <row r="81" spans="1:24" ht="15" customHeight="1" thickBot="1" x14ac:dyDescent="0.3">
      <c r="A81" s="574"/>
      <c r="B81" s="574"/>
      <c r="C81" s="573"/>
      <c r="D81" s="572"/>
      <c r="E81" s="556">
        <f t="shared" si="17"/>
        <v>0</v>
      </c>
      <c r="F81" s="556">
        <f t="shared" si="18"/>
        <v>0</v>
      </c>
      <c r="G81" s="556">
        <f t="shared" si="19"/>
        <v>0</v>
      </c>
      <c r="H81" s="556">
        <f t="shared" si="20"/>
        <v>0</v>
      </c>
      <c r="I81" s="1"/>
      <c r="J81" s="372">
        <f t="shared" si="21"/>
        <v>0</v>
      </c>
      <c r="K81" s="2"/>
      <c r="L81" s="556">
        <f t="shared" si="22"/>
        <v>0</v>
      </c>
      <c r="M81" s="571"/>
      <c r="N81" s="570"/>
      <c r="O81" s="570"/>
      <c r="P81" s="569"/>
      <c r="Q81" s="569"/>
      <c r="R81" s="569"/>
      <c r="S81" s="569"/>
      <c r="T81" s="569"/>
      <c r="U81" s="569"/>
      <c r="V81" s="569"/>
      <c r="W81" s="569"/>
      <c r="X81" s="569"/>
    </row>
    <row r="82" spans="1:24" ht="15" customHeight="1" thickBot="1" x14ac:dyDescent="0.3">
      <c r="A82" s="574"/>
      <c r="B82" s="574"/>
      <c r="C82" s="573"/>
      <c r="D82" s="572"/>
      <c r="E82" s="556">
        <f t="shared" si="17"/>
        <v>0</v>
      </c>
      <c r="F82" s="556">
        <f t="shared" si="18"/>
        <v>0</v>
      </c>
      <c r="G82" s="556">
        <f t="shared" si="19"/>
        <v>0</v>
      </c>
      <c r="H82" s="556">
        <f t="shared" si="20"/>
        <v>0</v>
      </c>
      <c r="I82" s="1"/>
      <c r="J82" s="372">
        <f>A82*345.22+M82*265.87+N82*113.57+O82*536+P82*387.29+Q82*428.6+R82*457.4+S82*464.24+T82*420.56*0.005+U82*26.13+V82*17.82+W82*19.93+X82*359.34+K82*436.99+I82*367.03</f>
        <v>0</v>
      </c>
      <c r="K82" s="2"/>
      <c r="L82" s="556">
        <f t="shared" si="22"/>
        <v>0</v>
      </c>
      <c r="M82" s="571"/>
      <c r="N82" s="570"/>
      <c r="O82" s="570"/>
      <c r="P82" s="569"/>
      <c r="Q82" s="569"/>
      <c r="R82" s="569"/>
      <c r="S82" s="569"/>
      <c r="T82" s="569"/>
      <c r="U82" s="569"/>
      <c r="V82" s="569"/>
      <c r="W82" s="569"/>
      <c r="X82" s="569"/>
    </row>
    <row r="83" spans="1:24" ht="19.5" customHeight="1" x14ac:dyDescent="0.25">
      <c r="A83" s="568"/>
      <c r="B83" s="568"/>
      <c r="C83" s="567"/>
      <c r="D83" s="567"/>
      <c r="E83" s="566"/>
      <c r="F83" s="566"/>
      <c r="G83" s="564"/>
      <c r="H83" s="564"/>
      <c r="I83" s="564"/>
      <c r="J83" s="565"/>
      <c r="K83" s="564" t="s">
        <v>33</v>
      </c>
      <c r="L83" s="564" t="s">
        <v>370</v>
      </c>
      <c r="M83" s="564" t="s">
        <v>34</v>
      </c>
      <c r="N83" s="564" t="s">
        <v>35</v>
      </c>
      <c r="O83" s="564" t="s">
        <v>36</v>
      </c>
      <c r="P83" s="564" t="s">
        <v>37</v>
      </c>
      <c r="Q83" s="564" t="s">
        <v>38</v>
      </c>
      <c r="R83" s="564" t="s">
        <v>39</v>
      </c>
      <c r="S83" s="564" t="s">
        <v>40</v>
      </c>
      <c r="T83" s="564" t="s">
        <v>303</v>
      </c>
      <c r="U83" s="564" t="s">
        <v>371</v>
      </c>
      <c r="V83" s="564" t="s">
        <v>372</v>
      </c>
      <c r="W83" s="564" t="s">
        <v>373</v>
      </c>
      <c r="X83" s="552" t="s">
        <v>374</v>
      </c>
    </row>
    <row r="84" spans="1:24" ht="15" x14ac:dyDescent="0.2">
      <c r="A84" s="552"/>
      <c r="B84" s="552"/>
      <c r="C84" s="553"/>
      <c r="D84" s="553"/>
      <c r="E84" s="553"/>
      <c r="F84" s="554"/>
      <c r="G84" s="553"/>
      <c r="H84" s="553"/>
      <c r="I84" s="553"/>
      <c r="J84" s="553"/>
      <c r="K84" s="555"/>
      <c r="L84" s="553"/>
      <c r="M84" s="554"/>
      <c r="N84" s="553"/>
      <c r="O84" s="553"/>
      <c r="P84" s="553"/>
      <c r="Q84" s="553"/>
      <c r="R84" s="553"/>
      <c r="S84" s="553"/>
      <c r="T84" s="553"/>
      <c r="U84" s="553"/>
      <c r="V84" s="553"/>
      <c r="W84" s="553"/>
      <c r="X84" s="552"/>
    </row>
  </sheetData>
  <printOptions horizontalCentered="1" verticalCentered="1" gridLines="1" gridLinesSet="0"/>
  <pageMargins left="0.78740157480314965" right="0.6692913385826772" top="1.1811023622047245" bottom="0.98425196850393704" header="0.70866141732283472" footer="0.51181102362204722"/>
  <pageSetup paperSize="9" scale="10" orientation="landscape" horizontalDpi="4294967292" verticalDpi="180" r:id="rId1"/>
  <headerFooter alignWithMargins="0">
    <oddHeader>&amp;C&amp;"Arial,Negrito"&amp;14&amp;A</oddHeader>
    <oddFooter>&amp;C&amp;"Arial,Negrito"&amp;14&amp;F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5A1E5-3521-4FE0-B4E9-146422035D4C}">
  <sheetPr codeName="Planilha6"/>
  <dimension ref="A1:F32"/>
  <sheetViews>
    <sheetView showGridLines="0" view="pageBreakPreview" zoomScale="85" zoomScaleNormal="100" zoomScaleSheetLayoutView="85" workbookViewId="0">
      <selection activeCell="I27" sqref="I27"/>
    </sheetView>
  </sheetViews>
  <sheetFormatPr defaultColWidth="9.33203125" defaultRowHeight="12.75" x14ac:dyDescent="0.2"/>
  <cols>
    <col min="1" max="1" width="44.5" style="6" customWidth="1"/>
    <col min="2" max="2" width="29.5" style="6" customWidth="1"/>
    <col min="3" max="3" width="36" style="6" customWidth="1"/>
    <col min="4" max="4" width="5.1640625" style="6" customWidth="1"/>
    <col min="5" max="5" width="34.5" style="6" customWidth="1"/>
    <col min="6" max="6" width="17.1640625" style="6" customWidth="1"/>
    <col min="7" max="16384" width="9.33203125" style="6"/>
  </cols>
  <sheetData>
    <row r="1" spans="1:5" ht="27" thickBot="1" x14ac:dyDescent="0.45">
      <c r="A1" s="3" t="s">
        <v>202</v>
      </c>
      <c r="B1" s="4"/>
      <c r="C1" s="4"/>
      <c r="D1" s="4"/>
      <c r="E1" s="5"/>
    </row>
    <row r="2" spans="1:5" ht="21" thickBot="1" x14ac:dyDescent="0.35">
      <c r="A2" s="7"/>
      <c r="B2" s="8" t="s">
        <v>203</v>
      </c>
      <c r="C2" s="9"/>
      <c r="D2" s="10"/>
      <c r="E2" s="11"/>
    </row>
    <row r="3" spans="1:5" ht="27" thickBot="1" x14ac:dyDescent="0.45">
      <c r="A3" s="12" t="s">
        <v>204</v>
      </c>
      <c r="B3" s="13"/>
      <c r="C3" s="13"/>
      <c r="D3" s="13"/>
      <c r="E3" s="14"/>
    </row>
    <row r="4" spans="1:5" ht="18.75" thickBot="1" x14ac:dyDescent="0.3">
      <c r="A4" s="15" t="s">
        <v>205</v>
      </c>
      <c r="B4" s="16"/>
      <c r="C4" s="16"/>
      <c r="D4" s="16"/>
      <c r="E4" s="17"/>
    </row>
    <row r="5" spans="1:5" ht="18" x14ac:dyDescent="0.25">
      <c r="A5" s="18" t="s">
        <v>206</v>
      </c>
      <c r="B5" s="19"/>
      <c r="C5" s="20"/>
      <c r="D5" s="631" t="s">
        <v>207</v>
      </c>
      <c r="E5" s="634">
        <v>0.6</v>
      </c>
    </row>
    <row r="6" spans="1:5" ht="18.75" thickBot="1" x14ac:dyDescent="0.3">
      <c r="A6" s="21" t="s">
        <v>208</v>
      </c>
      <c r="B6" s="22"/>
      <c r="C6" s="23" t="s">
        <v>209</v>
      </c>
      <c r="D6" s="632"/>
      <c r="E6" s="635"/>
    </row>
    <row r="7" spans="1:5" ht="19.5" customHeight="1" x14ac:dyDescent="0.25">
      <c r="A7" s="24" t="s">
        <v>210</v>
      </c>
      <c r="B7" s="637" t="str">
        <f>IF(B5=0,"",ROUND(B6/B5,4))</f>
        <v/>
      </c>
      <c r="C7" s="25" t="s">
        <v>211</v>
      </c>
      <c r="D7" s="632"/>
      <c r="E7" s="635"/>
    </row>
    <row r="8" spans="1:5" ht="18.75" thickBot="1" x14ac:dyDescent="0.3">
      <c r="A8" s="26" t="s">
        <v>211</v>
      </c>
      <c r="B8" s="638"/>
      <c r="C8" s="27"/>
      <c r="D8" s="633"/>
      <c r="E8" s="636"/>
    </row>
    <row r="9" spans="1:5" ht="18.75" thickBot="1" x14ac:dyDescent="0.3">
      <c r="A9" s="21" t="s">
        <v>212</v>
      </c>
      <c r="B9" s="28" t="str">
        <f>IF(B5=0,"",IF(B7&gt;=E5,"APROVADO","INVIÁVELl"))</f>
        <v/>
      </c>
      <c r="C9" s="29"/>
      <c r="D9" s="29"/>
      <c r="E9" s="30"/>
    </row>
    <row r="10" spans="1:5" x14ac:dyDescent="0.2">
      <c r="A10" s="31"/>
      <c r="B10" s="20"/>
      <c r="C10" s="20"/>
      <c r="D10" s="20"/>
      <c r="E10" s="32"/>
    </row>
    <row r="11" spans="1:5" ht="18.75" thickBot="1" x14ac:dyDescent="0.3">
      <c r="A11" s="33" t="s">
        <v>213</v>
      </c>
      <c r="B11" s="16"/>
      <c r="C11" s="16"/>
      <c r="D11" s="16"/>
      <c r="E11" s="17"/>
    </row>
    <row r="12" spans="1:5" ht="18.75" thickBot="1" x14ac:dyDescent="0.3">
      <c r="A12" s="34" t="s">
        <v>214</v>
      </c>
      <c r="B12" s="639"/>
      <c r="C12" s="640"/>
      <c r="D12" s="640"/>
      <c r="E12" s="641"/>
    </row>
    <row r="13" spans="1:5" ht="12.75" customHeight="1" x14ac:dyDescent="0.2">
      <c r="A13" s="35"/>
      <c r="B13" s="642" t="str">
        <f>IF(B5=0,"",IF(B12=0,"",ROUND(B12/B5,4)))</f>
        <v/>
      </c>
      <c r="C13" s="20"/>
      <c r="D13" s="631" t="s">
        <v>215</v>
      </c>
      <c r="E13" s="644">
        <v>12591.78</v>
      </c>
    </row>
    <row r="14" spans="1:5" ht="18" x14ac:dyDescent="0.25">
      <c r="A14" s="36" t="s">
        <v>216</v>
      </c>
      <c r="B14" s="643"/>
      <c r="C14" s="37" t="s">
        <v>209</v>
      </c>
      <c r="D14" s="632"/>
      <c r="E14" s="645"/>
    </row>
    <row r="15" spans="1:5" ht="18" x14ac:dyDescent="0.25">
      <c r="A15" s="38" t="s">
        <v>211</v>
      </c>
      <c r="B15" s="647" t="s">
        <v>368</v>
      </c>
      <c r="C15" s="39" t="s">
        <v>211</v>
      </c>
      <c r="D15" s="632"/>
      <c r="E15" s="645"/>
    </row>
    <row r="16" spans="1:5" ht="9.75" customHeight="1" thickBot="1" x14ac:dyDescent="0.3">
      <c r="A16" s="26"/>
      <c r="B16" s="648"/>
      <c r="C16" s="27"/>
      <c r="D16" s="633"/>
      <c r="E16" s="646"/>
    </row>
    <row r="17" spans="1:6" ht="18.75" thickBot="1" x14ac:dyDescent="0.3">
      <c r="A17" s="40" t="s">
        <v>212</v>
      </c>
      <c r="B17" s="41" t="str">
        <f>IF(B13=0,"",IF(B12=0,"",IF(B13&lt;=E13,"APROVADO","INVIÁVEL")))</f>
        <v/>
      </c>
      <c r="C17" s="42"/>
      <c r="D17" s="42"/>
      <c r="E17" s="43"/>
    </row>
    <row r="22" spans="1:6" x14ac:dyDescent="0.2">
      <c r="B22" s="6" t="s">
        <v>380</v>
      </c>
      <c r="C22" s="6">
        <v>150</v>
      </c>
      <c r="E22" s="366">
        <v>599.82299999999998</v>
      </c>
    </row>
    <row r="23" spans="1:6" x14ac:dyDescent="0.2">
      <c r="B23" s="365">
        <v>43831</v>
      </c>
      <c r="C23" s="6">
        <f>C22*E23/E22</f>
        <v>194.99902471229012</v>
      </c>
      <c r="E23" s="366">
        <v>779.76599999999996</v>
      </c>
    </row>
    <row r="24" spans="1:6" x14ac:dyDescent="0.2">
      <c r="B24" s="365">
        <v>43983</v>
      </c>
      <c r="C24" s="6">
        <f>C22*E24/E22</f>
        <v>197.64105411096276</v>
      </c>
      <c r="E24" s="366">
        <v>790.33100000000002</v>
      </c>
      <c r="F24" s="367"/>
    </row>
    <row r="25" spans="1:6" x14ac:dyDescent="0.2">
      <c r="B25" s="365">
        <v>44287</v>
      </c>
      <c r="C25" s="6">
        <f>C22*E25/E22</f>
        <v>222.11327341565763</v>
      </c>
      <c r="E25" s="366">
        <v>888.19100000000003</v>
      </c>
      <c r="F25" s="367"/>
    </row>
    <row r="26" spans="1:6" x14ac:dyDescent="0.2">
      <c r="B26" s="365"/>
      <c r="E26" s="366"/>
      <c r="F26" s="367"/>
    </row>
    <row r="28" spans="1:6" x14ac:dyDescent="0.2">
      <c r="B28" s="365"/>
    </row>
    <row r="29" spans="1:6" x14ac:dyDescent="0.2">
      <c r="B29" s="365"/>
    </row>
    <row r="31" spans="1:6" x14ac:dyDescent="0.2">
      <c r="B31" s="365"/>
    </row>
    <row r="32" spans="1:6" x14ac:dyDescent="0.2">
      <c r="B32" s="365"/>
    </row>
  </sheetData>
  <mergeCells count="8">
    <mergeCell ref="D5:D8"/>
    <mergeCell ref="E5:E8"/>
    <mergeCell ref="B7:B8"/>
    <mergeCell ref="B12:E12"/>
    <mergeCell ref="B13:B14"/>
    <mergeCell ref="D13:D16"/>
    <mergeCell ref="E13:E16"/>
    <mergeCell ref="B15:B16"/>
  </mergeCells>
  <pageMargins left="0.511811024" right="0.511811024" top="0.78740157499999996" bottom="0.78740157499999996" header="0.31496062000000002" footer="0.31496062000000002"/>
  <pageSetup paperSize="9" scale="7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573BE-9AE1-48AC-9D20-1EBA063EBD9A}">
  <sheetPr codeName="Planilha7"/>
  <dimension ref="A1:AA72"/>
  <sheetViews>
    <sheetView view="pageBreakPreview" zoomScale="60" zoomScaleNormal="70" workbookViewId="0">
      <selection activeCell="I27" sqref="I27"/>
    </sheetView>
  </sheetViews>
  <sheetFormatPr defaultColWidth="9.1640625" defaultRowHeight="11.25" x14ac:dyDescent="0.2"/>
  <cols>
    <col min="1" max="1" width="39.5" style="228" customWidth="1"/>
    <col min="2" max="2" width="31" style="228" bestFit="1" customWidth="1"/>
    <col min="3" max="3" width="15.6640625" style="228" customWidth="1"/>
    <col min="4" max="4" width="1.83203125" style="228" customWidth="1"/>
    <col min="5" max="5" width="39.5" style="228" bestFit="1" customWidth="1"/>
    <col min="6" max="6" width="22.83203125" style="228" customWidth="1"/>
    <col min="7" max="7" width="4.83203125" style="228" customWidth="1"/>
    <col min="8" max="8" width="39.5" style="228" customWidth="1"/>
    <col min="9" max="9" width="31" style="228" bestFit="1" customWidth="1"/>
    <col min="10" max="10" width="15.6640625" style="228" customWidth="1"/>
    <col min="11" max="11" width="1.83203125" style="228" customWidth="1"/>
    <col min="12" max="12" width="39.5" style="228" bestFit="1" customWidth="1"/>
    <col min="13" max="13" width="22.83203125" style="228" customWidth="1"/>
    <col min="14" max="16384" width="9.1640625" style="228"/>
  </cols>
  <sheetData>
    <row r="1" spans="1:13" ht="27.75" x14ac:dyDescent="0.4">
      <c r="A1" s="359" t="s">
        <v>318</v>
      </c>
      <c r="B1"/>
      <c r="C1"/>
      <c r="D1"/>
      <c r="E1"/>
      <c r="F1" s="360" t="s">
        <v>367</v>
      </c>
      <c r="G1" s="45"/>
      <c r="H1" s="45"/>
      <c r="I1" s="45"/>
      <c r="J1"/>
      <c r="K1"/>
      <c r="L1"/>
      <c r="M1"/>
    </row>
    <row r="2" spans="1:13" x14ac:dyDescent="0.2">
      <c r="A2"/>
      <c r="B2"/>
      <c r="C2"/>
      <c r="D2"/>
      <c r="E2"/>
      <c r="F2"/>
      <c r="G2"/>
      <c r="H2"/>
      <c r="I2"/>
      <c r="J2"/>
      <c r="K2"/>
      <c r="L2"/>
      <c r="M2"/>
    </row>
    <row r="3" spans="1:13" ht="12" thickBot="1" x14ac:dyDescent="0.25">
      <c r="A3"/>
      <c r="B3"/>
      <c r="C3"/>
      <c r="D3"/>
      <c r="E3"/>
      <c r="F3"/>
      <c r="G3"/>
      <c r="H3"/>
      <c r="I3"/>
      <c r="J3"/>
      <c r="K3"/>
      <c r="L3"/>
      <c r="M3"/>
    </row>
    <row r="4" spans="1:13" ht="12.6" customHeight="1" x14ac:dyDescent="0.25">
      <c r="A4" s="278" t="s">
        <v>319</v>
      </c>
      <c r="B4" s="229"/>
      <c r="C4" s="229"/>
      <c r="D4" s="229"/>
      <c r="E4" s="229"/>
      <c r="F4" s="230"/>
      <c r="G4"/>
      <c r="H4" s="278" t="s">
        <v>319</v>
      </c>
      <c r="I4" s="229"/>
      <c r="J4" s="229"/>
      <c r="K4" s="229"/>
      <c r="L4" s="229"/>
      <c r="M4" s="230"/>
    </row>
    <row r="5" spans="1:13" ht="12.6" customHeight="1" x14ac:dyDescent="0.25">
      <c r="A5" s="279" t="s">
        <v>320</v>
      </c>
      <c r="B5" s="231"/>
      <c r="C5" s="231"/>
      <c r="D5" s="231"/>
      <c r="E5" s="231"/>
      <c r="F5" s="232"/>
      <c r="G5"/>
      <c r="H5" s="279" t="s">
        <v>320</v>
      </c>
      <c r="I5" s="231"/>
      <c r="J5" s="231"/>
      <c r="K5" s="231"/>
      <c r="L5" s="231"/>
      <c r="M5" s="232"/>
    </row>
    <row r="6" spans="1:13" ht="12.6" customHeight="1" thickBot="1" x14ac:dyDescent="0.3">
      <c r="A6" s="280" t="s">
        <v>321</v>
      </c>
      <c r="B6" s="281"/>
      <c r="C6" s="281"/>
      <c r="D6" s="281"/>
      <c r="E6" s="281"/>
      <c r="F6" s="282"/>
      <c r="G6"/>
      <c r="H6" s="280" t="s">
        <v>321</v>
      </c>
      <c r="I6" s="233"/>
      <c r="J6" s="233"/>
      <c r="K6" s="233"/>
      <c r="L6" s="233"/>
      <c r="M6" s="234"/>
    </row>
    <row r="7" spans="1:13" ht="12" thickBot="1" x14ac:dyDescent="0.25">
      <c r="A7"/>
      <c r="B7"/>
      <c r="C7"/>
      <c r="D7"/>
      <c r="E7"/>
      <c r="F7"/>
      <c r="G7"/>
      <c r="H7"/>
      <c r="I7"/>
      <c r="J7"/>
      <c r="K7"/>
      <c r="L7"/>
      <c r="M7"/>
    </row>
    <row r="8" spans="1:13" ht="20.25" x14ac:dyDescent="0.3">
      <c r="A8" s="283" t="s">
        <v>341</v>
      </c>
      <c r="B8" s="284" t="s">
        <v>348</v>
      </c>
      <c r="C8" s="235" t="s">
        <v>344</v>
      </c>
      <c r="D8" s="236"/>
      <c r="E8" s="236"/>
      <c r="F8" s="237"/>
      <c r="G8"/>
      <c r="H8" s="283" t="s">
        <v>343</v>
      </c>
      <c r="I8" s="284" t="s">
        <v>348</v>
      </c>
      <c r="J8" s="235" t="s">
        <v>344</v>
      </c>
      <c r="K8" s="236"/>
      <c r="L8" s="236"/>
      <c r="M8" s="237"/>
    </row>
    <row r="9" spans="1:13" ht="16.5" thickBot="1" x14ac:dyDescent="0.3">
      <c r="A9" s="285"/>
      <c r="B9" s="286" t="s">
        <v>324</v>
      </c>
      <c r="C9" s="238" t="s">
        <v>345</v>
      </c>
      <c r="D9" s="239"/>
      <c r="E9" s="239"/>
      <c r="F9" s="240"/>
      <c r="G9"/>
      <c r="H9" s="285"/>
      <c r="I9" s="286" t="s">
        <v>324</v>
      </c>
      <c r="J9" s="238" t="s">
        <v>345</v>
      </c>
      <c r="K9" s="239"/>
      <c r="L9" s="239"/>
      <c r="M9" s="240"/>
    </row>
    <row r="10" spans="1:13" ht="12" thickBot="1" x14ac:dyDescent="0.25">
      <c r="A10" s="287"/>
      <c r="B10"/>
      <c r="C10"/>
      <c r="D10"/>
      <c r="E10"/>
      <c r="F10"/>
      <c r="G10"/>
      <c r="H10" s="287"/>
      <c r="I10"/>
      <c r="J10"/>
      <c r="K10"/>
      <c r="L10"/>
      <c r="M10"/>
    </row>
    <row r="11" spans="1:13" ht="20.45" customHeight="1" x14ac:dyDescent="0.3">
      <c r="A11" s="288" t="s">
        <v>347</v>
      </c>
      <c r="B11" s="289"/>
      <c r="C11" s="290"/>
      <c r="D11" s="291"/>
      <c r="E11" s="292" t="s">
        <v>353</v>
      </c>
      <c r="F11" s="293"/>
      <c r="G11"/>
      <c r="H11" s="288" t="s">
        <v>347</v>
      </c>
      <c r="I11" s="289"/>
      <c r="J11" s="290"/>
      <c r="K11" s="291"/>
      <c r="L11" s="292" t="s">
        <v>353</v>
      </c>
      <c r="M11" s="293"/>
    </row>
    <row r="12" spans="1:13" ht="15.75" x14ac:dyDescent="0.25">
      <c r="A12" s="294" t="s">
        <v>349</v>
      </c>
      <c r="B12" s="295"/>
      <c r="C12" s="242"/>
      <c r="D12"/>
      <c r="E12" s="296"/>
      <c r="F12" s="297"/>
      <c r="G12"/>
      <c r="H12" s="294" t="s">
        <v>349</v>
      </c>
      <c r="I12" s="295"/>
      <c r="J12" s="242"/>
      <c r="K12"/>
      <c r="L12" s="296"/>
      <c r="M12" s="297"/>
    </row>
    <row r="13" spans="1:13" ht="20.25" x14ac:dyDescent="0.3">
      <c r="A13" s="298" t="s">
        <v>350</v>
      </c>
      <c r="B13" s="299"/>
      <c r="C13" s="243"/>
      <c r="D13"/>
      <c r="E13" s="300" t="s">
        <v>365</v>
      </c>
      <c r="F13" s="301"/>
      <c r="G13"/>
      <c r="H13" s="298" t="s">
        <v>350</v>
      </c>
      <c r="I13" s="299"/>
      <c r="J13" s="243"/>
      <c r="K13"/>
      <c r="L13" s="300" t="s">
        <v>354</v>
      </c>
      <c r="M13" s="301"/>
    </row>
    <row r="14" spans="1:13" ht="15.75" x14ac:dyDescent="0.25">
      <c r="A14" s="302" t="s">
        <v>322</v>
      </c>
      <c r="B14" s="303"/>
      <c r="C14" s="304"/>
      <c r="D14"/>
      <c r="E14" s="305" t="s">
        <v>323</v>
      </c>
      <c r="F14" s="306" t="s">
        <v>352</v>
      </c>
      <c r="G14"/>
      <c r="H14" s="302" t="s">
        <v>322</v>
      </c>
      <c r="I14" s="303"/>
      <c r="J14" s="304"/>
      <c r="K14"/>
      <c r="L14" s="305" t="s">
        <v>323</v>
      </c>
      <c r="M14" s="306" t="s">
        <v>352</v>
      </c>
    </row>
    <row r="15" spans="1:13" ht="15" x14ac:dyDescent="0.2">
      <c r="A15" s="307" t="s">
        <v>323</v>
      </c>
      <c r="B15" s="308" t="s">
        <v>351</v>
      </c>
      <c r="C15" s="309"/>
      <c r="D15"/>
      <c r="E15" s="310"/>
      <c r="F15" s="311" t="s">
        <v>355</v>
      </c>
      <c r="G15"/>
      <c r="H15" s="307" t="s">
        <v>323</v>
      </c>
      <c r="I15" s="308" t="s">
        <v>351</v>
      </c>
      <c r="J15" s="309"/>
      <c r="K15"/>
      <c r="L15" s="310"/>
      <c r="M15" s="311" t="s">
        <v>355</v>
      </c>
    </row>
    <row r="16" spans="1:13" ht="15.75" x14ac:dyDescent="0.25">
      <c r="A16" s="312" t="s">
        <v>325</v>
      </c>
      <c r="B16" s="244" t="s">
        <v>329</v>
      </c>
      <c r="C16" s="245"/>
      <c r="D16"/>
      <c r="E16" s="313"/>
      <c r="F16" s="314"/>
      <c r="G16"/>
      <c r="H16" s="312" t="s">
        <v>325</v>
      </c>
      <c r="I16" s="244" t="s">
        <v>329</v>
      </c>
      <c r="J16" s="245"/>
      <c r="K16"/>
      <c r="L16" s="313"/>
      <c r="M16" s="314"/>
    </row>
    <row r="17" spans="1:27" ht="15.75" x14ac:dyDescent="0.25">
      <c r="A17" s="315" t="s">
        <v>326</v>
      </c>
      <c r="B17" s="246" t="s">
        <v>330</v>
      </c>
      <c r="C17" s="247"/>
      <c r="D17"/>
      <c r="E17" s="316" t="s">
        <v>101</v>
      </c>
      <c r="F17" s="317">
        <f>SUM(C16:C18)</f>
        <v>0</v>
      </c>
      <c r="G17"/>
      <c r="H17" s="315" t="s">
        <v>326</v>
      </c>
      <c r="I17" s="246" t="s">
        <v>330</v>
      </c>
      <c r="J17" s="247"/>
      <c r="K17"/>
      <c r="L17" s="316" t="s">
        <v>101</v>
      </c>
      <c r="M17" s="317">
        <f>SUM(J16:J18)</f>
        <v>0</v>
      </c>
    </row>
    <row r="18" spans="1:27" ht="15.75" x14ac:dyDescent="0.25">
      <c r="A18" s="318" t="s">
        <v>327</v>
      </c>
      <c r="B18" s="248" t="s">
        <v>331</v>
      </c>
      <c r="C18" s="249"/>
      <c r="D18"/>
      <c r="E18" s="319"/>
      <c r="F18" s="320"/>
      <c r="G18"/>
      <c r="H18" s="318" t="s">
        <v>327</v>
      </c>
      <c r="I18" s="248" t="s">
        <v>331</v>
      </c>
      <c r="J18" s="249"/>
      <c r="K18"/>
      <c r="L18" s="319"/>
      <c r="M18" s="320"/>
      <c r="X18" s="250" t="s">
        <v>336</v>
      </c>
      <c r="AA18" s="251" t="s">
        <v>338</v>
      </c>
    </row>
    <row r="19" spans="1:27" ht="15.75" x14ac:dyDescent="0.25">
      <c r="A19" s="321" t="s">
        <v>99</v>
      </c>
      <c r="B19" s="252" t="s">
        <v>99</v>
      </c>
      <c r="C19" s="253"/>
      <c r="D19"/>
      <c r="E19" s="322" t="s">
        <v>99</v>
      </c>
      <c r="F19" s="323">
        <f>C19</f>
        <v>0</v>
      </c>
      <c r="G19"/>
      <c r="H19" s="321" t="s">
        <v>99</v>
      </c>
      <c r="I19" s="252" t="s">
        <v>99</v>
      </c>
      <c r="J19" s="253"/>
      <c r="K19"/>
      <c r="L19" s="322" t="s">
        <v>99</v>
      </c>
      <c r="M19" s="323">
        <f>J19</f>
        <v>0</v>
      </c>
      <c r="X19" s="254" t="s">
        <v>323</v>
      </c>
      <c r="Y19" s="241" t="s">
        <v>328</v>
      </c>
      <c r="Z19" s="241" t="s">
        <v>337</v>
      </c>
      <c r="AA19" s="251" t="s">
        <v>333</v>
      </c>
    </row>
    <row r="20" spans="1:27" ht="16.5" thickBot="1" x14ac:dyDescent="0.3">
      <c r="A20" s="321" t="s">
        <v>332</v>
      </c>
      <c r="B20" s="252" t="s">
        <v>100</v>
      </c>
      <c r="C20" s="253"/>
      <c r="D20"/>
      <c r="E20" s="324" t="s">
        <v>100</v>
      </c>
      <c r="F20" s="323">
        <f>C20</f>
        <v>0</v>
      </c>
      <c r="G20"/>
      <c r="H20" s="321" t="s">
        <v>332</v>
      </c>
      <c r="I20" s="252" t="s">
        <v>100</v>
      </c>
      <c r="J20" s="253"/>
      <c r="K20"/>
      <c r="L20" s="324" t="s">
        <v>100</v>
      </c>
      <c r="M20" s="323">
        <f>J20</f>
        <v>0</v>
      </c>
      <c r="X20" s="255"/>
      <c r="AA20" s="251" t="s">
        <v>335</v>
      </c>
    </row>
    <row r="21" spans="1:27" ht="15.75" x14ac:dyDescent="0.25">
      <c r="A21" s="325"/>
      <c r="B21" s="322" t="s">
        <v>334</v>
      </c>
      <c r="C21" s="326">
        <f>SUM(C16:C20)</f>
        <v>0</v>
      </c>
      <c r="D21"/>
      <c r="E21" s="322" t="s">
        <v>334</v>
      </c>
      <c r="F21" s="327">
        <f>SUM(F17:F20)</f>
        <v>0</v>
      </c>
      <c r="G21"/>
      <c r="H21" s="325"/>
      <c r="I21" s="322" t="s">
        <v>334</v>
      </c>
      <c r="J21" s="326">
        <f>SUM(J16:J20)</f>
        <v>0</v>
      </c>
      <c r="K21"/>
      <c r="L21" s="322" t="s">
        <v>334</v>
      </c>
      <c r="M21" s="327">
        <f>SUM(M17:M20)</f>
        <v>0</v>
      </c>
      <c r="X21" s="254"/>
      <c r="Y21" s="256"/>
      <c r="Z21" s="257">
        <f>ROUND(C16*$Q$10,4)</f>
        <v>0</v>
      </c>
      <c r="AA21" s="258"/>
    </row>
    <row r="22" spans="1:27" ht="16.5" thickBot="1" x14ac:dyDescent="0.3">
      <c r="A22" s="328"/>
      <c r="B22" s="329" t="s">
        <v>346</v>
      </c>
      <c r="C22" s="330" t="str">
        <f>IF(C21=0,"",IF(C21=100%,"OK","erro"))</f>
        <v/>
      </c>
      <c r="D22" s="331"/>
      <c r="E22" s="329" t="s">
        <v>346</v>
      </c>
      <c r="F22" s="330" t="str">
        <f>IF(F21=0,"",IF(F21=100%,"OK","erro"))</f>
        <v/>
      </c>
      <c r="G22"/>
      <c r="H22" s="328"/>
      <c r="I22" s="329" t="s">
        <v>346</v>
      </c>
      <c r="J22" s="330" t="str">
        <f>IF(J21=100%,"OK","erro")</f>
        <v>erro</v>
      </c>
      <c r="K22" s="331"/>
      <c r="L22" s="329" t="s">
        <v>346</v>
      </c>
      <c r="M22" s="330" t="str">
        <f>IF(M21=0,"",IF(M21=100%,"OK","erro"))</f>
        <v/>
      </c>
      <c r="X22" s="254"/>
      <c r="Y22" s="259" t="s">
        <v>101</v>
      </c>
      <c r="Z22" s="260">
        <f>ROUND(C17*$Q$10,4)</f>
        <v>0</v>
      </c>
      <c r="AA22" s="261">
        <f>SUM(Z21:Z23)</f>
        <v>0</v>
      </c>
    </row>
    <row r="23" spans="1:27" ht="12" thickBo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X23" s="254"/>
      <c r="Y23" s="262"/>
      <c r="Z23" s="263">
        <f>ROUND(C18*$Q$10,4)</f>
        <v>0</v>
      </c>
      <c r="AA23" s="264"/>
    </row>
    <row r="24" spans="1:27" ht="20.25" x14ac:dyDescent="0.3">
      <c r="A24" s="332"/>
      <c r="B24" s="333"/>
      <c r="C24" s="334"/>
      <c r="D24"/>
      <c r="E24" s="288" t="s">
        <v>356</v>
      </c>
      <c r="F24" s="293"/>
      <c r="G24"/>
      <c r="H24" s="332"/>
      <c r="I24" s="333"/>
      <c r="J24" s="334"/>
      <c r="K24"/>
      <c r="L24" s="288" t="s">
        <v>356</v>
      </c>
      <c r="M24" s="293"/>
      <c r="X24" s="254"/>
      <c r="Y24" s="265" t="s">
        <v>99</v>
      </c>
      <c r="Z24" s="266">
        <f>ROUND(C19*$Q$10,4)</f>
        <v>0</v>
      </c>
      <c r="AA24" s="267">
        <f>Z24</f>
        <v>0</v>
      </c>
    </row>
    <row r="25" spans="1:27" x14ac:dyDescent="0.2">
      <c r="A25" s="296"/>
      <c r="B25"/>
      <c r="C25" s="335"/>
      <c r="D25"/>
      <c r="E25" s="336"/>
      <c r="F25" s="297"/>
      <c r="G25"/>
      <c r="H25" s="296"/>
      <c r="I25"/>
      <c r="J25" s="335"/>
      <c r="K25"/>
      <c r="L25" s="336"/>
      <c r="M25" s="297"/>
      <c r="X25" s="254"/>
      <c r="Y25" s="268" t="s">
        <v>100</v>
      </c>
      <c r="Z25" s="269">
        <f>ROUND(C20*$Q$10,4)</f>
        <v>0</v>
      </c>
      <c r="AA25" s="270">
        <f>Z25</f>
        <v>0</v>
      </c>
    </row>
    <row r="26" spans="1:27" ht="20.25" x14ac:dyDescent="0.3">
      <c r="A26" s="337" t="s">
        <v>357</v>
      </c>
      <c r="B26"/>
      <c r="C26" s="335"/>
      <c r="D26"/>
      <c r="E26" s="338" t="s">
        <v>364</v>
      </c>
      <c r="F26" s="301"/>
      <c r="G26"/>
      <c r="H26" s="337" t="s">
        <v>357</v>
      </c>
      <c r="I26"/>
      <c r="J26" s="335"/>
      <c r="K26"/>
      <c r="L26" s="338" t="s">
        <v>364</v>
      </c>
      <c r="M26" s="301"/>
      <c r="X26" s="271"/>
      <c r="Y26" s="268" t="s">
        <v>340</v>
      </c>
      <c r="Z26" s="269">
        <f>O10</f>
        <v>0</v>
      </c>
      <c r="AA26" s="270">
        <f>Z26</f>
        <v>0</v>
      </c>
    </row>
    <row r="27" spans="1:27" ht="16.5" thickBot="1" x14ac:dyDescent="0.3">
      <c r="A27" s="337"/>
      <c r="B27"/>
      <c r="C27" s="335"/>
      <c r="D27"/>
      <c r="E27" s="339" t="s">
        <v>323</v>
      </c>
      <c r="F27" s="340" t="s">
        <v>352</v>
      </c>
      <c r="G27"/>
      <c r="H27" s="337"/>
      <c r="I27"/>
      <c r="J27" s="335"/>
      <c r="K27"/>
      <c r="L27" s="339" t="s">
        <v>323</v>
      </c>
      <c r="M27" s="340" t="s">
        <v>352</v>
      </c>
      <c r="X27" s="272"/>
      <c r="Y27" s="273" t="s">
        <v>339</v>
      </c>
      <c r="Z27" s="274">
        <f>SUM(Z21:Z26)</f>
        <v>0</v>
      </c>
      <c r="AA27" s="275">
        <f>SUM(AA22:AA26)</f>
        <v>0</v>
      </c>
    </row>
    <row r="28" spans="1:27" ht="15.75" x14ac:dyDescent="0.25">
      <c r="A28" s="337" t="s">
        <v>358</v>
      </c>
      <c r="B28"/>
      <c r="C28" s="335"/>
      <c r="D28"/>
      <c r="E28" s="341"/>
      <c r="F28" s="342" t="s">
        <v>355</v>
      </c>
      <c r="G28"/>
      <c r="H28" s="337" t="s">
        <v>358</v>
      </c>
      <c r="I28"/>
      <c r="J28" s="335"/>
      <c r="K28"/>
      <c r="L28" s="341"/>
      <c r="M28" s="342" t="s">
        <v>355</v>
      </c>
      <c r="Y28" s="276" t="s">
        <v>346</v>
      </c>
      <c r="Z28" s="277" t="str">
        <f>IF(Z27=100%,"OK","erro")</f>
        <v>erro</v>
      </c>
      <c r="AA28" s="277" t="str">
        <f>IF(AA27=1,"OK","erro")</f>
        <v>erro</v>
      </c>
    </row>
    <row r="29" spans="1:27" ht="15.75" x14ac:dyDescent="0.25">
      <c r="A29" s="337" t="s">
        <v>359</v>
      </c>
      <c r="B29"/>
      <c r="C29" s="335"/>
      <c r="D29"/>
      <c r="E29" s="343"/>
      <c r="F29" s="314"/>
      <c r="G29"/>
      <c r="H29" s="337" t="s">
        <v>359</v>
      </c>
      <c r="I29"/>
      <c r="J29" s="335"/>
      <c r="K29"/>
      <c r="L29" s="343"/>
      <c r="M29" s="314"/>
    </row>
    <row r="30" spans="1:27" ht="15.75" x14ac:dyDescent="0.25">
      <c r="A30" s="337" t="s">
        <v>360</v>
      </c>
      <c r="B30"/>
      <c r="C30" s="335"/>
      <c r="D30"/>
      <c r="E30" s="344" t="s">
        <v>101</v>
      </c>
      <c r="F30" s="345">
        <f>ROUND($C$32*F17,4)</f>
        <v>0</v>
      </c>
      <c r="G30"/>
      <c r="H30" s="337" t="s">
        <v>360</v>
      </c>
      <c r="I30"/>
      <c r="J30" s="335"/>
      <c r="K30"/>
      <c r="L30" s="344" t="s">
        <v>101</v>
      </c>
      <c r="M30" s="345">
        <f>ROUND($J$32*M17,4)</f>
        <v>0</v>
      </c>
    </row>
    <row r="31" spans="1:27" x14ac:dyDescent="0.2">
      <c r="A31" s="296"/>
      <c r="B31"/>
      <c r="C31" s="335"/>
      <c r="D31"/>
      <c r="E31" s="346"/>
      <c r="F31" s="320"/>
      <c r="G31"/>
      <c r="H31" s="296"/>
      <c r="I31"/>
      <c r="J31" s="335"/>
      <c r="K31"/>
      <c r="L31" s="346"/>
      <c r="M31" s="320"/>
    </row>
    <row r="32" spans="1:27" ht="15.75" x14ac:dyDescent="0.25">
      <c r="A32" s="347" t="s">
        <v>361</v>
      </c>
      <c r="B32" s="348"/>
      <c r="C32" s="326">
        <f>100%-C13</f>
        <v>1</v>
      </c>
      <c r="D32"/>
      <c r="E32" s="349" t="s">
        <v>99</v>
      </c>
      <c r="F32" s="350">
        <f>ROUND($C$32*F19,4)</f>
        <v>0</v>
      </c>
      <c r="G32"/>
      <c r="H32" s="347" t="s">
        <v>361</v>
      </c>
      <c r="I32" s="348"/>
      <c r="J32" s="326">
        <f>100%-J13</f>
        <v>1</v>
      </c>
      <c r="K32"/>
      <c r="L32" s="349" t="s">
        <v>99</v>
      </c>
      <c r="M32" s="350">
        <f>ROUND($J$32*M19,4)</f>
        <v>0</v>
      </c>
    </row>
    <row r="33" spans="1:13" ht="15.75" x14ac:dyDescent="0.25">
      <c r="A33"/>
      <c r="B33" s="351"/>
      <c r="C33" s="352"/>
      <c r="D33" s="353">
        <f>SUM(D28:D32)</f>
        <v>0</v>
      </c>
      <c r="E33" s="354" t="s">
        <v>100</v>
      </c>
      <c r="F33" s="350">
        <f>ROUND($C$32*F20,4)</f>
        <v>0</v>
      </c>
      <c r="G33"/>
      <c r="H33"/>
      <c r="I33" s="351"/>
      <c r="J33" s="352"/>
      <c r="K33" s="353">
        <f>SUM(K28:K32)</f>
        <v>0</v>
      </c>
      <c r="L33" s="354" t="s">
        <v>100</v>
      </c>
      <c r="M33" s="350">
        <f>ROUND($J$32*M20,4)</f>
        <v>0</v>
      </c>
    </row>
    <row r="34" spans="1:13" ht="15.75" x14ac:dyDescent="0.25">
      <c r="A34"/>
      <c r="B34" s="351"/>
      <c r="C34" s="352"/>
      <c r="D34" s="355"/>
      <c r="E34" s="356" t="s">
        <v>362</v>
      </c>
      <c r="F34" s="350">
        <f>C13</f>
        <v>0</v>
      </c>
      <c r="G34"/>
      <c r="H34"/>
      <c r="I34" s="351"/>
      <c r="J34" s="352"/>
      <c r="K34" s="355"/>
      <c r="L34" s="356" t="s">
        <v>362</v>
      </c>
      <c r="M34" s="350">
        <f>J13</f>
        <v>0</v>
      </c>
    </row>
    <row r="35" spans="1:13" ht="15.75" x14ac:dyDescent="0.25">
      <c r="A35"/>
      <c r="B35" s="351"/>
      <c r="C35" s="352"/>
      <c r="D35"/>
      <c r="E35" s="356" t="s">
        <v>363</v>
      </c>
      <c r="F35" s="350">
        <f>SUM(F30:F34)</f>
        <v>0</v>
      </c>
      <c r="G35"/>
      <c r="H35"/>
      <c r="I35" s="351"/>
      <c r="J35" s="352"/>
      <c r="K35"/>
      <c r="L35" s="356" t="s">
        <v>363</v>
      </c>
      <c r="M35" s="350">
        <f>SUM(M30:M34)</f>
        <v>0</v>
      </c>
    </row>
    <row r="36" spans="1:13" ht="16.5" thickBot="1" x14ac:dyDescent="0.3">
      <c r="A36"/>
      <c r="B36" s="351"/>
      <c r="C36" s="352"/>
      <c r="D36"/>
      <c r="E36" s="357" t="s">
        <v>346</v>
      </c>
      <c r="F36" s="358" t="str">
        <f>IF(F35=0,"",IF(F35=100%,"OK","erro"))</f>
        <v/>
      </c>
      <c r="G36"/>
      <c r="H36"/>
      <c r="I36" s="351"/>
      <c r="J36" s="352"/>
      <c r="K36"/>
      <c r="L36" s="357" t="s">
        <v>346</v>
      </c>
      <c r="M36" s="358" t="str">
        <f>IF(M35=0,"",IF(M35=100%,"OK","erro"))</f>
        <v/>
      </c>
    </row>
    <row r="37" spans="1:13" x14ac:dyDescent="0.2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2" thickBo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15.75" x14ac:dyDescent="0.25">
      <c r="A40" s="278" t="s">
        <v>319</v>
      </c>
      <c r="B40" s="229"/>
      <c r="C40" s="229"/>
      <c r="D40" s="229"/>
      <c r="E40" s="229"/>
      <c r="F40" s="230"/>
      <c r="G40"/>
      <c r="H40" s="278" t="s">
        <v>319</v>
      </c>
      <c r="I40" s="229"/>
      <c r="J40" s="229"/>
      <c r="K40" s="229"/>
      <c r="L40" s="229"/>
      <c r="M40" s="230"/>
    </row>
    <row r="41" spans="1:13" ht="15.75" x14ac:dyDescent="0.25">
      <c r="A41" s="279" t="s">
        <v>320</v>
      </c>
      <c r="B41" s="231"/>
      <c r="C41" s="231"/>
      <c r="D41" s="231"/>
      <c r="E41" s="231"/>
      <c r="F41" s="232"/>
      <c r="G41"/>
      <c r="H41" s="279" t="s">
        <v>320</v>
      </c>
      <c r="I41" s="231"/>
      <c r="J41" s="231"/>
      <c r="K41" s="231"/>
      <c r="L41" s="231"/>
      <c r="M41" s="232"/>
    </row>
    <row r="42" spans="1:13" ht="16.5" thickBot="1" x14ac:dyDescent="0.3">
      <c r="A42" s="280" t="s">
        <v>321</v>
      </c>
      <c r="B42" s="233"/>
      <c r="C42" s="233"/>
      <c r="D42" s="233"/>
      <c r="E42" s="233"/>
      <c r="F42" s="234"/>
      <c r="G42"/>
      <c r="H42" s="280" t="s">
        <v>321</v>
      </c>
      <c r="I42" s="281"/>
      <c r="J42" s="281"/>
      <c r="K42" s="281"/>
      <c r="L42" s="281"/>
      <c r="M42" s="282"/>
    </row>
    <row r="43" spans="1:13" ht="12" thickBo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0.25" x14ac:dyDescent="0.3">
      <c r="A44" s="283" t="s">
        <v>342</v>
      </c>
      <c r="B44" s="284" t="s">
        <v>348</v>
      </c>
      <c r="C44" s="235" t="s">
        <v>344</v>
      </c>
      <c r="D44" s="236"/>
      <c r="E44" s="236"/>
      <c r="F44" s="237"/>
      <c r="G44"/>
      <c r="H44" s="283" t="s">
        <v>366</v>
      </c>
      <c r="I44" s="284" t="s">
        <v>348</v>
      </c>
      <c r="J44" s="235" t="s">
        <v>344</v>
      </c>
      <c r="K44" s="236"/>
      <c r="L44" s="236"/>
      <c r="M44" s="237"/>
    </row>
    <row r="45" spans="1:13" ht="16.5" thickBot="1" x14ac:dyDescent="0.3">
      <c r="A45" s="285"/>
      <c r="B45" s="286" t="s">
        <v>324</v>
      </c>
      <c r="C45" s="238" t="s">
        <v>345</v>
      </c>
      <c r="D45" s="239"/>
      <c r="E45" s="239"/>
      <c r="F45" s="240"/>
      <c r="G45"/>
      <c r="H45" s="285"/>
      <c r="I45" s="286" t="s">
        <v>324</v>
      </c>
      <c r="J45" s="238" t="s">
        <v>345</v>
      </c>
      <c r="K45" s="239"/>
      <c r="L45" s="239"/>
      <c r="M45" s="240"/>
    </row>
    <row r="46" spans="1:13" ht="12" thickBot="1" x14ac:dyDescent="0.25">
      <c r="A46" s="287"/>
      <c r="B46"/>
      <c r="C46"/>
      <c r="D46"/>
      <c r="E46"/>
      <c r="F46"/>
      <c r="G46"/>
      <c r="H46" s="287"/>
      <c r="I46"/>
      <c r="J46"/>
      <c r="K46"/>
      <c r="L46"/>
      <c r="M46"/>
    </row>
    <row r="47" spans="1:13" ht="20.25" x14ac:dyDescent="0.3">
      <c r="A47" s="288" t="s">
        <v>347</v>
      </c>
      <c r="B47" s="289"/>
      <c r="C47" s="290"/>
      <c r="D47" s="291"/>
      <c r="E47" s="292" t="s">
        <v>353</v>
      </c>
      <c r="F47" s="293"/>
      <c r="G47"/>
      <c r="H47" s="288" t="s">
        <v>347</v>
      </c>
      <c r="I47" s="289"/>
      <c r="J47" s="290"/>
      <c r="K47" s="291"/>
      <c r="L47" s="292" t="s">
        <v>353</v>
      </c>
      <c r="M47" s="293"/>
    </row>
    <row r="48" spans="1:13" ht="15.75" x14ac:dyDescent="0.25">
      <c r="A48" s="294" t="s">
        <v>349</v>
      </c>
      <c r="B48" s="295"/>
      <c r="C48" s="242"/>
      <c r="D48"/>
      <c r="E48" s="296"/>
      <c r="F48" s="297"/>
      <c r="G48"/>
      <c r="H48" s="294" t="s">
        <v>349</v>
      </c>
      <c r="I48" s="295"/>
      <c r="J48" s="242"/>
      <c r="K48"/>
      <c r="L48" s="296"/>
      <c r="M48" s="297"/>
    </row>
    <row r="49" spans="1:13" ht="20.25" x14ac:dyDescent="0.3">
      <c r="A49" s="298" t="s">
        <v>350</v>
      </c>
      <c r="B49" s="299"/>
      <c r="C49" s="243"/>
      <c r="D49"/>
      <c r="E49" s="300" t="s">
        <v>365</v>
      </c>
      <c r="F49" s="301"/>
      <c r="G49"/>
      <c r="H49" s="298" t="s">
        <v>350</v>
      </c>
      <c r="I49" s="299"/>
      <c r="J49" s="243"/>
      <c r="K49"/>
      <c r="L49" s="300" t="s">
        <v>354</v>
      </c>
      <c r="M49" s="301"/>
    </row>
    <row r="50" spans="1:13" ht="15.75" x14ac:dyDescent="0.25">
      <c r="A50" s="302" t="s">
        <v>322</v>
      </c>
      <c r="B50" s="303"/>
      <c r="C50" s="304"/>
      <c r="D50"/>
      <c r="E50" s="305" t="s">
        <v>323</v>
      </c>
      <c r="F50" s="306" t="s">
        <v>352</v>
      </c>
      <c r="G50"/>
      <c r="H50" s="302" t="s">
        <v>322</v>
      </c>
      <c r="I50" s="303"/>
      <c r="J50" s="304"/>
      <c r="K50"/>
      <c r="L50" s="305" t="s">
        <v>323</v>
      </c>
      <c r="M50" s="306" t="s">
        <v>352</v>
      </c>
    </row>
    <row r="51" spans="1:13" ht="15" x14ac:dyDescent="0.2">
      <c r="A51" s="307" t="s">
        <v>323</v>
      </c>
      <c r="B51" s="308" t="s">
        <v>351</v>
      </c>
      <c r="C51" s="309"/>
      <c r="D51"/>
      <c r="E51" s="310"/>
      <c r="F51" s="311" t="s">
        <v>355</v>
      </c>
      <c r="G51"/>
      <c r="H51" s="307" t="s">
        <v>323</v>
      </c>
      <c r="I51" s="308" t="s">
        <v>351</v>
      </c>
      <c r="J51" s="309"/>
      <c r="K51"/>
      <c r="L51" s="310"/>
      <c r="M51" s="311" t="s">
        <v>355</v>
      </c>
    </row>
    <row r="52" spans="1:13" ht="15.75" x14ac:dyDescent="0.25">
      <c r="A52" s="312" t="s">
        <v>325</v>
      </c>
      <c r="B52" s="244" t="s">
        <v>329</v>
      </c>
      <c r="C52" s="245"/>
      <c r="D52"/>
      <c r="E52" s="313"/>
      <c r="F52" s="314"/>
      <c r="G52"/>
      <c r="H52" s="312" t="s">
        <v>325</v>
      </c>
      <c r="I52" s="244" t="s">
        <v>329</v>
      </c>
      <c r="J52" s="245"/>
      <c r="K52"/>
      <c r="L52" s="313"/>
      <c r="M52" s="314"/>
    </row>
    <row r="53" spans="1:13" ht="15.75" x14ac:dyDescent="0.25">
      <c r="A53" s="315" t="s">
        <v>326</v>
      </c>
      <c r="B53" s="246" t="s">
        <v>330</v>
      </c>
      <c r="C53" s="247"/>
      <c r="D53"/>
      <c r="E53" s="316" t="s">
        <v>101</v>
      </c>
      <c r="F53" s="317">
        <f>SUM(C52:C54)</f>
        <v>0</v>
      </c>
      <c r="G53"/>
      <c r="H53" s="315" t="s">
        <v>326</v>
      </c>
      <c r="I53" s="246" t="s">
        <v>330</v>
      </c>
      <c r="J53" s="247"/>
      <c r="K53"/>
      <c r="L53" s="316" t="s">
        <v>101</v>
      </c>
      <c r="M53" s="317">
        <f>SUM(J52:J54)</f>
        <v>0</v>
      </c>
    </row>
    <row r="54" spans="1:13" ht="15.75" x14ac:dyDescent="0.25">
      <c r="A54" s="318" t="s">
        <v>327</v>
      </c>
      <c r="B54" s="248" t="s">
        <v>331</v>
      </c>
      <c r="C54" s="249"/>
      <c r="D54"/>
      <c r="E54" s="319"/>
      <c r="F54" s="320"/>
      <c r="G54"/>
      <c r="H54" s="318" t="s">
        <v>327</v>
      </c>
      <c r="I54" s="248" t="s">
        <v>331</v>
      </c>
      <c r="J54" s="249"/>
      <c r="K54"/>
      <c r="L54" s="319"/>
      <c r="M54" s="320"/>
    </row>
    <row r="55" spans="1:13" ht="15.75" x14ac:dyDescent="0.25">
      <c r="A55" s="321" t="s">
        <v>99</v>
      </c>
      <c r="B55" s="252" t="s">
        <v>99</v>
      </c>
      <c r="C55" s="253"/>
      <c r="D55"/>
      <c r="E55" s="322" t="s">
        <v>99</v>
      </c>
      <c r="F55" s="323">
        <f>C55</f>
        <v>0</v>
      </c>
      <c r="G55"/>
      <c r="H55" s="321" t="s">
        <v>99</v>
      </c>
      <c r="I55" s="252" t="s">
        <v>99</v>
      </c>
      <c r="J55" s="253"/>
      <c r="K55"/>
      <c r="L55" s="322" t="s">
        <v>99</v>
      </c>
      <c r="M55" s="323">
        <f>J55</f>
        <v>0</v>
      </c>
    </row>
    <row r="56" spans="1:13" ht="15.75" x14ac:dyDescent="0.25">
      <c r="A56" s="321" t="s">
        <v>332</v>
      </c>
      <c r="B56" s="252" t="s">
        <v>100</v>
      </c>
      <c r="C56" s="253"/>
      <c r="D56"/>
      <c r="E56" s="324" t="s">
        <v>100</v>
      </c>
      <c r="F56" s="323">
        <f>C56</f>
        <v>0</v>
      </c>
      <c r="G56"/>
      <c r="H56" s="321" t="s">
        <v>332</v>
      </c>
      <c r="I56" s="252" t="s">
        <v>100</v>
      </c>
      <c r="J56" s="253"/>
      <c r="K56"/>
      <c r="L56" s="324" t="s">
        <v>100</v>
      </c>
      <c r="M56" s="323">
        <f>J56</f>
        <v>0</v>
      </c>
    </row>
    <row r="57" spans="1:13" ht="15.75" x14ac:dyDescent="0.25">
      <c r="A57" s="325"/>
      <c r="B57" s="322" t="s">
        <v>334</v>
      </c>
      <c r="C57" s="326">
        <f>SUM(C52:C56)</f>
        <v>0</v>
      </c>
      <c r="D57"/>
      <c r="E57" s="322" t="s">
        <v>334</v>
      </c>
      <c r="F57" s="327">
        <f>SUM(F53:F56)</f>
        <v>0</v>
      </c>
      <c r="G57"/>
      <c r="H57" s="325"/>
      <c r="I57" s="322" t="s">
        <v>334</v>
      </c>
      <c r="J57" s="326">
        <f>SUM(J52:J56)</f>
        <v>0</v>
      </c>
      <c r="K57"/>
      <c r="L57" s="322" t="s">
        <v>334</v>
      </c>
      <c r="M57" s="327">
        <f>SUM(M53:M56)</f>
        <v>0</v>
      </c>
    </row>
    <row r="58" spans="1:13" ht="16.5" thickBot="1" x14ac:dyDescent="0.3">
      <c r="A58" s="328"/>
      <c r="B58" s="329" t="s">
        <v>346</v>
      </c>
      <c r="C58" s="330" t="str">
        <f>IF(C57=0,"",IF(C57=100%,"OK","erro"))</f>
        <v/>
      </c>
      <c r="D58" s="331"/>
      <c r="E58" s="329" t="s">
        <v>346</v>
      </c>
      <c r="F58" s="330" t="str">
        <f>IF(F57=0,"",IF(F57=100%,"OK","erro"))</f>
        <v/>
      </c>
      <c r="G58"/>
      <c r="H58" s="328"/>
      <c r="I58" s="329" t="s">
        <v>346</v>
      </c>
      <c r="J58" s="330" t="str">
        <f>IF(J57=100%,"OK","erro")</f>
        <v>erro</v>
      </c>
      <c r="K58" s="331"/>
      <c r="L58" s="329" t="s">
        <v>346</v>
      </c>
      <c r="M58" s="330" t="str">
        <f>IF(M57=0,"",IF(M57=100%,"OK","erro"))</f>
        <v/>
      </c>
    </row>
    <row r="59" spans="1:13" ht="12" thickBo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0.25" x14ac:dyDescent="0.3">
      <c r="A60" s="332"/>
      <c r="B60" s="333"/>
      <c r="C60" s="334"/>
      <c r="D60"/>
      <c r="E60" s="288" t="s">
        <v>356</v>
      </c>
      <c r="F60" s="293"/>
      <c r="G60"/>
      <c r="H60" s="332"/>
      <c r="I60" s="333"/>
      <c r="J60" s="334"/>
      <c r="K60"/>
      <c r="L60" s="288" t="s">
        <v>356</v>
      </c>
      <c r="M60" s="293"/>
    </row>
    <row r="61" spans="1:13" x14ac:dyDescent="0.2">
      <c r="A61" s="296"/>
      <c r="B61"/>
      <c r="C61" s="335"/>
      <c r="D61"/>
      <c r="E61" s="336"/>
      <c r="F61" s="297"/>
      <c r="G61"/>
      <c r="H61" s="296"/>
      <c r="I61"/>
      <c r="J61" s="335"/>
      <c r="K61"/>
      <c r="L61" s="336"/>
      <c r="M61" s="297"/>
    </row>
    <row r="62" spans="1:13" ht="20.25" x14ac:dyDescent="0.3">
      <c r="A62" s="337" t="s">
        <v>357</v>
      </c>
      <c r="B62"/>
      <c r="C62" s="335"/>
      <c r="D62"/>
      <c r="E62" s="338" t="s">
        <v>364</v>
      </c>
      <c r="F62" s="301"/>
      <c r="G62"/>
      <c r="H62" s="337" t="s">
        <v>357</v>
      </c>
      <c r="I62"/>
      <c r="J62" s="335"/>
      <c r="K62"/>
      <c r="L62" s="338" t="s">
        <v>364</v>
      </c>
      <c r="M62" s="301"/>
    </row>
    <row r="63" spans="1:13" ht="15.75" x14ac:dyDescent="0.25">
      <c r="A63" s="337"/>
      <c r="B63"/>
      <c r="C63" s="335"/>
      <c r="D63"/>
      <c r="E63" s="339" t="s">
        <v>323</v>
      </c>
      <c r="F63" s="340" t="s">
        <v>352</v>
      </c>
      <c r="G63"/>
      <c r="H63" s="337"/>
      <c r="I63"/>
      <c r="J63" s="335"/>
      <c r="K63"/>
      <c r="L63" s="339" t="s">
        <v>323</v>
      </c>
      <c r="M63" s="340" t="s">
        <v>352</v>
      </c>
    </row>
    <row r="64" spans="1:13" ht="15.75" x14ac:dyDescent="0.25">
      <c r="A64" s="337" t="s">
        <v>358</v>
      </c>
      <c r="B64"/>
      <c r="C64" s="335"/>
      <c r="D64"/>
      <c r="E64" s="341"/>
      <c r="F64" s="342" t="s">
        <v>355</v>
      </c>
      <c r="G64"/>
      <c r="H64" s="337" t="s">
        <v>358</v>
      </c>
      <c r="I64"/>
      <c r="J64" s="335"/>
      <c r="K64"/>
      <c r="L64" s="341"/>
      <c r="M64" s="342" t="s">
        <v>355</v>
      </c>
    </row>
    <row r="65" spans="1:13" ht="15.75" x14ac:dyDescent="0.25">
      <c r="A65" s="337" t="s">
        <v>359</v>
      </c>
      <c r="B65"/>
      <c r="C65" s="335"/>
      <c r="D65"/>
      <c r="E65" s="343"/>
      <c r="F65" s="314"/>
      <c r="G65"/>
      <c r="H65" s="337" t="s">
        <v>359</v>
      </c>
      <c r="I65"/>
      <c r="J65" s="335"/>
      <c r="K65"/>
      <c r="L65" s="343"/>
      <c r="M65" s="314"/>
    </row>
    <row r="66" spans="1:13" ht="15.75" x14ac:dyDescent="0.25">
      <c r="A66" s="337" t="s">
        <v>360</v>
      </c>
      <c r="B66"/>
      <c r="C66" s="335"/>
      <c r="D66"/>
      <c r="E66" s="344" t="s">
        <v>101</v>
      </c>
      <c r="F66" s="345">
        <f>ROUND($C$32*F53,4)</f>
        <v>0</v>
      </c>
      <c r="G66"/>
      <c r="H66" s="337" t="s">
        <v>360</v>
      </c>
      <c r="I66"/>
      <c r="J66" s="335"/>
      <c r="K66"/>
      <c r="L66" s="344" t="s">
        <v>101</v>
      </c>
      <c r="M66" s="345">
        <f>ROUND($J$32*M53,4)</f>
        <v>0</v>
      </c>
    </row>
    <row r="67" spans="1:13" x14ac:dyDescent="0.2">
      <c r="A67" s="296"/>
      <c r="B67"/>
      <c r="C67" s="335"/>
      <c r="D67"/>
      <c r="E67" s="346"/>
      <c r="F67" s="320"/>
      <c r="G67"/>
      <c r="H67" s="296"/>
      <c r="I67"/>
      <c r="J67" s="335"/>
      <c r="K67"/>
      <c r="L67" s="346"/>
      <c r="M67" s="320"/>
    </row>
    <row r="68" spans="1:13" ht="15.75" x14ac:dyDescent="0.25">
      <c r="A68" s="347" t="s">
        <v>361</v>
      </c>
      <c r="B68" s="348"/>
      <c r="C68" s="326">
        <f>100%-C49</f>
        <v>1</v>
      </c>
      <c r="D68"/>
      <c r="E68" s="349" t="s">
        <v>99</v>
      </c>
      <c r="F68" s="350">
        <f>ROUND($C$32*F55,4)</f>
        <v>0</v>
      </c>
      <c r="G68"/>
      <c r="H68" s="347" t="s">
        <v>361</v>
      </c>
      <c r="I68" s="348"/>
      <c r="J68" s="326">
        <f>100%-J49</f>
        <v>1</v>
      </c>
      <c r="K68"/>
      <c r="L68" s="349" t="s">
        <v>99</v>
      </c>
      <c r="M68" s="350">
        <f>ROUND($J$32*M55,4)</f>
        <v>0</v>
      </c>
    </row>
    <row r="69" spans="1:13" ht="15.75" x14ac:dyDescent="0.25">
      <c r="A69"/>
      <c r="B69" s="351"/>
      <c r="C69" s="352"/>
      <c r="D69" s="353">
        <f>SUM(D64:D68)</f>
        <v>0</v>
      </c>
      <c r="E69" s="354" t="s">
        <v>100</v>
      </c>
      <c r="F69" s="350">
        <f>ROUND($C$32*F56,4)</f>
        <v>0</v>
      </c>
      <c r="G69"/>
      <c r="H69"/>
      <c r="I69" s="351"/>
      <c r="J69" s="352"/>
      <c r="K69" s="353">
        <f>SUM(K64:K68)</f>
        <v>0</v>
      </c>
      <c r="L69" s="354" t="s">
        <v>100</v>
      </c>
      <c r="M69" s="350">
        <f>ROUND($J$32*M56,4)</f>
        <v>0</v>
      </c>
    </row>
    <row r="70" spans="1:13" ht="15.75" x14ac:dyDescent="0.25">
      <c r="A70"/>
      <c r="B70" s="351"/>
      <c r="C70" s="352"/>
      <c r="D70" s="355"/>
      <c r="E70" s="356" t="s">
        <v>362</v>
      </c>
      <c r="F70" s="350">
        <f>C49</f>
        <v>0</v>
      </c>
      <c r="G70"/>
      <c r="H70"/>
      <c r="I70" s="351"/>
      <c r="J70" s="352"/>
      <c r="K70" s="355"/>
      <c r="L70" s="356" t="s">
        <v>362</v>
      </c>
      <c r="M70" s="350">
        <f>J49</f>
        <v>0</v>
      </c>
    </row>
    <row r="71" spans="1:13" ht="15.75" x14ac:dyDescent="0.25">
      <c r="A71"/>
      <c r="B71" s="351"/>
      <c r="C71" s="352"/>
      <c r="D71"/>
      <c r="E71" s="356" t="s">
        <v>363</v>
      </c>
      <c r="F71" s="350">
        <f>SUM(F66:F70)</f>
        <v>0</v>
      </c>
      <c r="G71"/>
      <c r="H71"/>
      <c r="I71" s="351"/>
      <c r="J71" s="352"/>
      <c r="K71"/>
      <c r="L71" s="356" t="s">
        <v>363</v>
      </c>
      <c r="M71" s="350">
        <f>SUM(M66:M70)</f>
        <v>0</v>
      </c>
    </row>
    <row r="72" spans="1:13" ht="16.5" thickBot="1" x14ac:dyDescent="0.3">
      <c r="A72"/>
      <c r="B72" s="351"/>
      <c r="C72" s="352"/>
      <c r="D72"/>
      <c r="E72" s="357" t="s">
        <v>346</v>
      </c>
      <c r="F72" s="358" t="str">
        <f>IF(F71=0,"",IF(F71=100%,"OK","erro"))</f>
        <v/>
      </c>
      <c r="G72"/>
      <c r="H72"/>
      <c r="I72" s="351"/>
      <c r="J72" s="352"/>
      <c r="K72"/>
      <c r="L72" s="357" t="s">
        <v>346</v>
      </c>
      <c r="M72" s="358" t="str">
        <f>IF(M71=0,"",IF(M71=100%,"OK","erro"))</f>
        <v/>
      </c>
    </row>
  </sheetData>
  <sheetProtection sheet="1" objects="1" scenarios="1"/>
  <pageMargins left="0.511811024" right="0.511811024" top="0.78740157499999996" bottom="0.78740157499999996" header="0.31496062000000002" footer="0.31496062000000002"/>
  <pageSetup paperSize="9" scale="36" orientation="portrait" r:id="rId1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D1CD1-4F78-4CF3-87F1-58D573E5D3C1}">
  <sheetPr codeName="Planilha10">
    <pageSetUpPr fitToPage="1"/>
  </sheetPr>
  <dimension ref="A1:X55"/>
  <sheetViews>
    <sheetView showZeros="0" view="pageBreakPreview" topLeftCell="B1" zoomScaleNormal="100" zoomScaleSheetLayoutView="100" workbookViewId="0">
      <selection activeCell="S9" sqref="S9"/>
    </sheetView>
  </sheetViews>
  <sheetFormatPr defaultColWidth="10.6640625" defaultRowHeight="12.75" x14ac:dyDescent="0.2"/>
  <cols>
    <col min="1" max="1" width="5" style="6" hidden="1" customWidth="1"/>
    <col min="2" max="2" width="14.33203125" style="6" customWidth="1"/>
    <col min="3" max="3" width="26.1640625" style="6" customWidth="1"/>
    <col min="4" max="4" width="17.6640625" style="6" customWidth="1"/>
    <col min="5" max="5" width="3.83203125" style="6" customWidth="1"/>
    <col min="6" max="15" width="12.5" style="6" customWidth="1"/>
    <col min="16" max="17" width="13.83203125" style="6" customWidth="1"/>
    <col min="18" max="18" width="8.33203125" style="6" bestFit="1" customWidth="1"/>
    <col min="19" max="19" width="14" style="6" customWidth="1"/>
    <col min="20" max="20" width="8.5" style="6" customWidth="1"/>
    <col min="21" max="22" width="0.6640625" style="6" customWidth="1"/>
    <col min="23" max="259" width="10.6640625" style="6"/>
    <col min="260" max="260" width="13.1640625" style="6" customWidth="1"/>
    <col min="261" max="261" width="79" style="6" customWidth="1"/>
    <col min="262" max="262" width="3.83203125" style="6" customWidth="1"/>
    <col min="263" max="275" width="12.5" style="6" customWidth="1"/>
    <col min="276" max="276" width="8.5" style="6" customWidth="1"/>
    <col min="277" max="515" width="10.6640625" style="6"/>
    <col min="516" max="516" width="13.1640625" style="6" customWidth="1"/>
    <col min="517" max="517" width="79" style="6" customWidth="1"/>
    <col min="518" max="518" width="3.83203125" style="6" customWidth="1"/>
    <col min="519" max="531" width="12.5" style="6" customWidth="1"/>
    <col min="532" max="532" width="8.5" style="6" customWidth="1"/>
    <col min="533" max="771" width="10.6640625" style="6"/>
    <col min="772" max="772" width="13.1640625" style="6" customWidth="1"/>
    <col min="773" max="773" width="79" style="6" customWidth="1"/>
    <col min="774" max="774" width="3.83203125" style="6" customWidth="1"/>
    <col min="775" max="787" width="12.5" style="6" customWidth="1"/>
    <col min="788" max="788" width="8.5" style="6" customWidth="1"/>
    <col min="789" max="1027" width="10.6640625" style="6"/>
    <col min="1028" max="1028" width="13.1640625" style="6" customWidth="1"/>
    <col min="1029" max="1029" width="79" style="6" customWidth="1"/>
    <col min="1030" max="1030" width="3.83203125" style="6" customWidth="1"/>
    <col min="1031" max="1043" width="12.5" style="6" customWidth="1"/>
    <col min="1044" max="1044" width="8.5" style="6" customWidth="1"/>
    <col min="1045" max="1283" width="10.6640625" style="6"/>
    <col min="1284" max="1284" width="13.1640625" style="6" customWidth="1"/>
    <col min="1285" max="1285" width="79" style="6" customWidth="1"/>
    <col min="1286" max="1286" width="3.83203125" style="6" customWidth="1"/>
    <col min="1287" max="1299" width="12.5" style="6" customWidth="1"/>
    <col min="1300" max="1300" width="8.5" style="6" customWidth="1"/>
    <col min="1301" max="1539" width="10.6640625" style="6"/>
    <col min="1540" max="1540" width="13.1640625" style="6" customWidth="1"/>
    <col min="1541" max="1541" width="79" style="6" customWidth="1"/>
    <col min="1542" max="1542" width="3.83203125" style="6" customWidth="1"/>
    <col min="1543" max="1555" width="12.5" style="6" customWidth="1"/>
    <col min="1556" max="1556" width="8.5" style="6" customWidth="1"/>
    <col min="1557" max="1795" width="10.6640625" style="6"/>
    <col min="1796" max="1796" width="13.1640625" style="6" customWidth="1"/>
    <col min="1797" max="1797" width="79" style="6" customWidth="1"/>
    <col min="1798" max="1798" width="3.83203125" style="6" customWidth="1"/>
    <col min="1799" max="1811" width="12.5" style="6" customWidth="1"/>
    <col min="1812" max="1812" width="8.5" style="6" customWidth="1"/>
    <col min="1813" max="2051" width="10.6640625" style="6"/>
    <col min="2052" max="2052" width="13.1640625" style="6" customWidth="1"/>
    <col min="2053" max="2053" width="79" style="6" customWidth="1"/>
    <col min="2054" max="2054" width="3.83203125" style="6" customWidth="1"/>
    <col min="2055" max="2067" width="12.5" style="6" customWidth="1"/>
    <col min="2068" max="2068" width="8.5" style="6" customWidth="1"/>
    <col min="2069" max="2307" width="10.6640625" style="6"/>
    <col min="2308" max="2308" width="13.1640625" style="6" customWidth="1"/>
    <col min="2309" max="2309" width="79" style="6" customWidth="1"/>
    <col min="2310" max="2310" width="3.83203125" style="6" customWidth="1"/>
    <col min="2311" max="2323" width="12.5" style="6" customWidth="1"/>
    <col min="2324" max="2324" width="8.5" style="6" customWidth="1"/>
    <col min="2325" max="2563" width="10.6640625" style="6"/>
    <col min="2564" max="2564" width="13.1640625" style="6" customWidth="1"/>
    <col min="2565" max="2565" width="79" style="6" customWidth="1"/>
    <col min="2566" max="2566" width="3.83203125" style="6" customWidth="1"/>
    <col min="2567" max="2579" width="12.5" style="6" customWidth="1"/>
    <col min="2580" max="2580" width="8.5" style="6" customWidth="1"/>
    <col min="2581" max="2819" width="10.6640625" style="6"/>
    <col min="2820" max="2820" width="13.1640625" style="6" customWidth="1"/>
    <col min="2821" max="2821" width="79" style="6" customWidth="1"/>
    <col min="2822" max="2822" width="3.83203125" style="6" customWidth="1"/>
    <col min="2823" max="2835" width="12.5" style="6" customWidth="1"/>
    <col min="2836" max="2836" width="8.5" style="6" customWidth="1"/>
    <col min="2837" max="3075" width="10.6640625" style="6"/>
    <col min="3076" max="3076" width="13.1640625" style="6" customWidth="1"/>
    <col min="3077" max="3077" width="79" style="6" customWidth="1"/>
    <col min="3078" max="3078" width="3.83203125" style="6" customWidth="1"/>
    <col min="3079" max="3091" width="12.5" style="6" customWidth="1"/>
    <col min="3092" max="3092" width="8.5" style="6" customWidth="1"/>
    <col min="3093" max="3331" width="10.6640625" style="6"/>
    <col min="3332" max="3332" width="13.1640625" style="6" customWidth="1"/>
    <col min="3333" max="3333" width="79" style="6" customWidth="1"/>
    <col min="3334" max="3334" width="3.83203125" style="6" customWidth="1"/>
    <col min="3335" max="3347" width="12.5" style="6" customWidth="1"/>
    <col min="3348" max="3348" width="8.5" style="6" customWidth="1"/>
    <col min="3349" max="3587" width="10.6640625" style="6"/>
    <col min="3588" max="3588" width="13.1640625" style="6" customWidth="1"/>
    <col min="3589" max="3589" width="79" style="6" customWidth="1"/>
    <col min="3590" max="3590" width="3.83203125" style="6" customWidth="1"/>
    <col min="3591" max="3603" width="12.5" style="6" customWidth="1"/>
    <col min="3604" max="3604" width="8.5" style="6" customWidth="1"/>
    <col min="3605" max="3843" width="10.6640625" style="6"/>
    <col min="3844" max="3844" width="13.1640625" style="6" customWidth="1"/>
    <col min="3845" max="3845" width="79" style="6" customWidth="1"/>
    <col min="3846" max="3846" width="3.83203125" style="6" customWidth="1"/>
    <col min="3847" max="3859" width="12.5" style="6" customWidth="1"/>
    <col min="3860" max="3860" width="8.5" style="6" customWidth="1"/>
    <col min="3861" max="4099" width="10.6640625" style="6"/>
    <col min="4100" max="4100" width="13.1640625" style="6" customWidth="1"/>
    <col min="4101" max="4101" width="79" style="6" customWidth="1"/>
    <col min="4102" max="4102" width="3.83203125" style="6" customWidth="1"/>
    <col min="4103" max="4115" width="12.5" style="6" customWidth="1"/>
    <col min="4116" max="4116" width="8.5" style="6" customWidth="1"/>
    <col min="4117" max="4355" width="10.6640625" style="6"/>
    <col min="4356" max="4356" width="13.1640625" style="6" customWidth="1"/>
    <col min="4357" max="4357" width="79" style="6" customWidth="1"/>
    <col min="4358" max="4358" width="3.83203125" style="6" customWidth="1"/>
    <col min="4359" max="4371" width="12.5" style="6" customWidth="1"/>
    <col min="4372" max="4372" width="8.5" style="6" customWidth="1"/>
    <col min="4373" max="4611" width="10.6640625" style="6"/>
    <col min="4612" max="4612" width="13.1640625" style="6" customWidth="1"/>
    <col min="4613" max="4613" width="79" style="6" customWidth="1"/>
    <col min="4614" max="4614" width="3.83203125" style="6" customWidth="1"/>
    <col min="4615" max="4627" width="12.5" style="6" customWidth="1"/>
    <col min="4628" max="4628" width="8.5" style="6" customWidth="1"/>
    <col min="4629" max="4867" width="10.6640625" style="6"/>
    <col min="4868" max="4868" width="13.1640625" style="6" customWidth="1"/>
    <col min="4869" max="4869" width="79" style="6" customWidth="1"/>
    <col min="4870" max="4870" width="3.83203125" style="6" customWidth="1"/>
    <col min="4871" max="4883" width="12.5" style="6" customWidth="1"/>
    <col min="4884" max="4884" width="8.5" style="6" customWidth="1"/>
    <col min="4885" max="5123" width="10.6640625" style="6"/>
    <col min="5124" max="5124" width="13.1640625" style="6" customWidth="1"/>
    <col min="5125" max="5125" width="79" style="6" customWidth="1"/>
    <col min="5126" max="5126" width="3.83203125" style="6" customWidth="1"/>
    <col min="5127" max="5139" width="12.5" style="6" customWidth="1"/>
    <col min="5140" max="5140" width="8.5" style="6" customWidth="1"/>
    <col min="5141" max="5379" width="10.6640625" style="6"/>
    <col min="5380" max="5380" width="13.1640625" style="6" customWidth="1"/>
    <col min="5381" max="5381" width="79" style="6" customWidth="1"/>
    <col min="5382" max="5382" width="3.83203125" style="6" customWidth="1"/>
    <col min="5383" max="5395" width="12.5" style="6" customWidth="1"/>
    <col min="5396" max="5396" width="8.5" style="6" customWidth="1"/>
    <col min="5397" max="5635" width="10.6640625" style="6"/>
    <col min="5636" max="5636" width="13.1640625" style="6" customWidth="1"/>
    <col min="5637" max="5637" width="79" style="6" customWidth="1"/>
    <col min="5638" max="5638" width="3.83203125" style="6" customWidth="1"/>
    <col min="5639" max="5651" width="12.5" style="6" customWidth="1"/>
    <col min="5652" max="5652" width="8.5" style="6" customWidth="1"/>
    <col min="5653" max="5891" width="10.6640625" style="6"/>
    <col min="5892" max="5892" width="13.1640625" style="6" customWidth="1"/>
    <col min="5893" max="5893" width="79" style="6" customWidth="1"/>
    <col min="5894" max="5894" width="3.83203125" style="6" customWidth="1"/>
    <col min="5895" max="5907" width="12.5" style="6" customWidth="1"/>
    <col min="5908" max="5908" width="8.5" style="6" customWidth="1"/>
    <col min="5909" max="6147" width="10.6640625" style="6"/>
    <col min="6148" max="6148" width="13.1640625" style="6" customWidth="1"/>
    <col min="6149" max="6149" width="79" style="6" customWidth="1"/>
    <col min="6150" max="6150" width="3.83203125" style="6" customWidth="1"/>
    <col min="6151" max="6163" width="12.5" style="6" customWidth="1"/>
    <col min="6164" max="6164" width="8.5" style="6" customWidth="1"/>
    <col min="6165" max="6403" width="10.6640625" style="6"/>
    <col min="6404" max="6404" width="13.1640625" style="6" customWidth="1"/>
    <col min="6405" max="6405" width="79" style="6" customWidth="1"/>
    <col min="6406" max="6406" width="3.83203125" style="6" customWidth="1"/>
    <col min="6407" max="6419" width="12.5" style="6" customWidth="1"/>
    <col min="6420" max="6420" width="8.5" style="6" customWidth="1"/>
    <col min="6421" max="6659" width="10.6640625" style="6"/>
    <col min="6660" max="6660" width="13.1640625" style="6" customWidth="1"/>
    <col min="6661" max="6661" width="79" style="6" customWidth="1"/>
    <col min="6662" max="6662" width="3.83203125" style="6" customWidth="1"/>
    <col min="6663" max="6675" width="12.5" style="6" customWidth="1"/>
    <col min="6676" max="6676" width="8.5" style="6" customWidth="1"/>
    <col min="6677" max="6915" width="10.6640625" style="6"/>
    <col min="6916" max="6916" width="13.1640625" style="6" customWidth="1"/>
    <col min="6917" max="6917" width="79" style="6" customWidth="1"/>
    <col min="6918" max="6918" width="3.83203125" style="6" customWidth="1"/>
    <col min="6919" max="6931" width="12.5" style="6" customWidth="1"/>
    <col min="6932" max="6932" width="8.5" style="6" customWidth="1"/>
    <col min="6933" max="7171" width="10.6640625" style="6"/>
    <col min="7172" max="7172" width="13.1640625" style="6" customWidth="1"/>
    <col min="7173" max="7173" width="79" style="6" customWidth="1"/>
    <col min="7174" max="7174" width="3.83203125" style="6" customWidth="1"/>
    <col min="7175" max="7187" width="12.5" style="6" customWidth="1"/>
    <col min="7188" max="7188" width="8.5" style="6" customWidth="1"/>
    <col min="7189" max="7427" width="10.6640625" style="6"/>
    <col min="7428" max="7428" width="13.1640625" style="6" customWidth="1"/>
    <col min="7429" max="7429" width="79" style="6" customWidth="1"/>
    <col min="7430" max="7430" width="3.83203125" style="6" customWidth="1"/>
    <col min="7431" max="7443" width="12.5" style="6" customWidth="1"/>
    <col min="7444" max="7444" width="8.5" style="6" customWidth="1"/>
    <col min="7445" max="7683" width="10.6640625" style="6"/>
    <col min="7684" max="7684" width="13.1640625" style="6" customWidth="1"/>
    <col min="7685" max="7685" width="79" style="6" customWidth="1"/>
    <col min="7686" max="7686" width="3.83203125" style="6" customWidth="1"/>
    <col min="7687" max="7699" width="12.5" style="6" customWidth="1"/>
    <col min="7700" max="7700" width="8.5" style="6" customWidth="1"/>
    <col min="7701" max="7939" width="10.6640625" style="6"/>
    <col min="7940" max="7940" width="13.1640625" style="6" customWidth="1"/>
    <col min="7941" max="7941" width="79" style="6" customWidth="1"/>
    <col min="7942" max="7942" width="3.83203125" style="6" customWidth="1"/>
    <col min="7943" max="7955" width="12.5" style="6" customWidth="1"/>
    <col min="7956" max="7956" width="8.5" style="6" customWidth="1"/>
    <col min="7957" max="8195" width="10.6640625" style="6"/>
    <col min="8196" max="8196" width="13.1640625" style="6" customWidth="1"/>
    <col min="8197" max="8197" width="79" style="6" customWidth="1"/>
    <col min="8198" max="8198" width="3.83203125" style="6" customWidth="1"/>
    <col min="8199" max="8211" width="12.5" style="6" customWidth="1"/>
    <col min="8212" max="8212" width="8.5" style="6" customWidth="1"/>
    <col min="8213" max="8451" width="10.6640625" style="6"/>
    <col min="8452" max="8452" width="13.1640625" style="6" customWidth="1"/>
    <col min="8453" max="8453" width="79" style="6" customWidth="1"/>
    <col min="8454" max="8454" width="3.83203125" style="6" customWidth="1"/>
    <col min="8455" max="8467" width="12.5" style="6" customWidth="1"/>
    <col min="8468" max="8468" width="8.5" style="6" customWidth="1"/>
    <col min="8469" max="8707" width="10.6640625" style="6"/>
    <col min="8708" max="8708" width="13.1640625" style="6" customWidth="1"/>
    <col min="8709" max="8709" width="79" style="6" customWidth="1"/>
    <col min="8710" max="8710" width="3.83203125" style="6" customWidth="1"/>
    <col min="8711" max="8723" width="12.5" style="6" customWidth="1"/>
    <col min="8724" max="8724" width="8.5" style="6" customWidth="1"/>
    <col min="8725" max="8963" width="10.6640625" style="6"/>
    <col min="8964" max="8964" width="13.1640625" style="6" customWidth="1"/>
    <col min="8965" max="8965" width="79" style="6" customWidth="1"/>
    <col min="8966" max="8966" width="3.83203125" style="6" customWidth="1"/>
    <col min="8967" max="8979" width="12.5" style="6" customWidth="1"/>
    <col min="8980" max="8980" width="8.5" style="6" customWidth="1"/>
    <col min="8981" max="9219" width="10.6640625" style="6"/>
    <col min="9220" max="9220" width="13.1640625" style="6" customWidth="1"/>
    <col min="9221" max="9221" width="79" style="6" customWidth="1"/>
    <col min="9222" max="9222" width="3.83203125" style="6" customWidth="1"/>
    <col min="9223" max="9235" width="12.5" style="6" customWidth="1"/>
    <col min="9236" max="9236" width="8.5" style="6" customWidth="1"/>
    <col min="9237" max="9475" width="10.6640625" style="6"/>
    <col min="9476" max="9476" width="13.1640625" style="6" customWidth="1"/>
    <col min="9477" max="9477" width="79" style="6" customWidth="1"/>
    <col min="9478" max="9478" width="3.83203125" style="6" customWidth="1"/>
    <col min="9479" max="9491" width="12.5" style="6" customWidth="1"/>
    <col min="9492" max="9492" width="8.5" style="6" customWidth="1"/>
    <col min="9493" max="9731" width="10.6640625" style="6"/>
    <col min="9732" max="9732" width="13.1640625" style="6" customWidth="1"/>
    <col min="9733" max="9733" width="79" style="6" customWidth="1"/>
    <col min="9734" max="9734" width="3.83203125" style="6" customWidth="1"/>
    <col min="9735" max="9747" width="12.5" style="6" customWidth="1"/>
    <col min="9748" max="9748" width="8.5" style="6" customWidth="1"/>
    <col min="9749" max="9987" width="10.6640625" style="6"/>
    <col min="9988" max="9988" width="13.1640625" style="6" customWidth="1"/>
    <col min="9989" max="9989" width="79" style="6" customWidth="1"/>
    <col min="9990" max="9990" width="3.83203125" style="6" customWidth="1"/>
    <col min="9991" max="10003" width="12.5" style="6" customWidth="1"/>
    <col min="10004" max="10004" width="8.5" style="6" customWidth="1"/>
    <col min="10005" max="10243" width="10.6640625" style="6"/>
    <col min="10244" max="10244" width="13.1640625" style="6" customWidth="1"/>
    <col min="10245" max="10245" width="79" style="6" customWidth="1"/>
    <col min="10246" max="10246" width="3.83203125" style="6" customWidth="1"/>
    <col min="10247" max="10259" width="12.5" style="6" customWidth="1"/>
    <col min="10260" max="10260" width="8.5" style="6" customWidth="1"/>
    <col min="10261" max="10499" width="10.6640625" style="6"/>
    <col min="10500" max="10500" width="13.1640625" style="6" customWidth="1"/>
    <col min="10501" max="10501" width="79" style="6" customWidth="1"/>
    <col min="10502" max="10502" width="3.83203125" style="6" customWidth="1"/>
    <col min="10503" max="10515" width="12.5" style="6" customWidth="1"/>
    <col min="10516" max="10516" width="8.5" style="6" customWidth="1"/>
    <col min="10517" max="10755" width="10.6640625" style="6"/>
    <col min="10756" max="10756" width="13.1640625" style="6" customWidth="1"/>
    <col min="10757" max="10757" width="79" style="6" customWidth="1"/>
    <col min="10758" max="10758" width="3.83203125" style="6" customWidth="1"/>
    <col min="10759" max="10771" width="12.5" style="6" customWidth="1"/>
    <col min="10772" max="10772" width="8.5" style="6" customWidth="1"/>
    <col min="10773" max="11011" width="10.6640625" style="6"/>
    <col min="11012" max="11012" width="13.1640625" style="6" customWidth="1"/>
    <col min="11013" max="11013" width="79" style="6" customWidth="1"/>
    <col min="11014" max="11014" width="3.83203125" style="6" customWidth="1"/>
    <col min="11015" max="11027" width="12.5" style="6" customWidth="1"/>
    <col min="11028" max="11028" width="8.5" style="6" customWidth="1"/>
    <col min="11029" max="11267" width="10.6640625" style="6"/>
    <col min="11268" max="11268" width="13.1640625" style="6" customWidth="1"/>
    <col min="11269" max="11269" width="79" style="6" customWidth="1"/>
    <col min="11270" max="11270" width="3.83203125" style="6" customWidth="1"/>
    <col min="11271" max="11283" width="12.5" style="6" customWidth="1"/>
    <col min="11284" max="11284" width="8.5" style="6" customWidth="1"/>
    <col min="11285" max="11523" width="10.6640625" style="6"/>
    <col min="11524" max="11524" width="13.1640625" style="6" customWidth="1"/>
    <col min="11525" max="11525" width="79" style="6" customWidth="1"/>
    <col min="11526" max="11526" width="3.83203125" style="6" customWidth="1"/>
    <col min="11527" max="11539" width="12.5" style="6" customWidth="1"/>
    <col min="11540" max="11540" width="8.5" style="6" customWidth="1"/>
    <col min="11541" max="11779" width="10.6640625" style="6"/>
    <col min="11780" max="11780" width="13.1640625" style="6" customWidth="1"/>
    <col min="11781" max="11781" width="79" style="6" customWidth="1"/>
    <col min="11782" max="11782" width="3.83203125" style="6" customWidth="1"/>
    <col min="11783" max="11795" width="12.5" style="6" customWidth="1"/>
    <col min="11796" max="11796" width="8.5" style="6" customWidth="1"/>
    <col min="11797" max="12035" width="10.6640625" style="6"/>
    <col min="12036" max="12036" width="13.1640625" style="6" customWidth="1"/>
    <col min="12037" max="12037" width="79" style="6" customWidth="1"/>
    <col min="12038" max="12038" width="3.83203125" style="6" customWidth="1"/>
    <col min="12039" max="12051" width="12.5" style="6" customWidth="1"/>
    <col min="12052" max="12052" width="8.5" style="6" customWidth="1"/>
    <col min="12053" max="12291" width="10.6640625" style="6"/>
    <col min="12292" max="12292" width="13.1640625" style="6" customWidth="1"/>
    <col min="12293" max="12293" width="79" style="6" customWidth="1"/>
    <col min="12294" max="12294" width="3.83203125" style="6" customWidth="1"/>
    <col min="12295" max="12307" width="12.5" style="6" customWidth="1"/>
    <col min="12308" max="12308" width="8.5" style="6" customWidth="1"/>
    <col min="12309" max="12547" width="10.6640625" style="6"/>
    <col min="12548" max="12548" width="13.1640625" style="6" customWidth="1"/>
    <col min="12549" max="12549" width="79" style="6" customWidth="1"/>
    <col min="12550" max="12550" width="3.83203125" style="6" customWidth="1"/>
    <col min="12551" max="12563" width="12.5" style="6" customWidth="1"/>
    <col min="12564" max="12564" width="8.5" style="6" customWidth="1"/>
    <col min="12565" max="12803" width="10.6640625" style="6"/>
    <col min="12804" max="12804" width="13.1640625" style="6" customWidth="1"/>
    <col min="12805" max="12805" width="79" style="6" customWidth="1"/>
    <col min="12806" max="12806" width="3.83203125" style="6" customWidth="1"/>
    <col min="12807" max="12819" width="12.5" style="6" customWidth="1"/>
    <col min="12820" max="12820" width="8.5" style="6" customWidth="1"/>
    <col min="12821" max="13059" width="10.6640625" style="6"/>
    <col min="13060" max="13060" width="13.1640625" style="6" customWidth="1"/>
    <col min="13061" max="13061" width="79" style="6" customWidth="1"/>
    <col min="13062" max="13062" width="3.83203125" style="6" customWidth="1"/>
    <col min="13063" max="13075" width="12.5" style="6" customWidth="1"/>
    <col min="13076" max="13076" width="8.5" style="6" customWidth="1"/>
    <col min="13077" max="13315" width="10.6640625" style="6"/>
    <col min="13316" max="13316" width="13.1640625" style="6" customWidth="1"/>
    <col min="13317" max="13317" width="79" style="6" customWidth="1"/>
    <col min="13318" max="13318" width="3.83203125" style="6" customWidth="1"/>
    <col min="13319" max="13331" width="12.5" style="6" customWidth="1"/>
    <col min="13332" max="13332" width="8.5" style="6" customWidth="1"/>
    <col min="13333" max="13571" width="10.6640625" style="6"/>
    <col min="13572" max="13572" width="13.1640625" style="6" customWidth="1"/>
    <col min="13573" max="13573" width="79" style="6" customWidth="1"/>
    <col min="13574" max="13574" width="3.83203125" style="6" customWidth="1"/>
    <col min="13575" max="13587" width="12.5" style="6" customWidth="1"/>
    <col min="13588" max="13588" width="8.5" style="6" customWidth="1"/>
    <col min="13589" max="13827" width="10.6640625" style="6"/>
    <col min="13828" max="13828" width="13.1640625" style="6" customWidth="1"/>
    <col min="13829" max="13829" width="79" style="6" customWidth="1"/>
    <col min="13830" max="13830" width="3.83203125" style="6" customWidth="1"/>
    <col min="13831" max="13843" width="12.5" style="6" customWidth="1"/>
    <col min="13844" max="13844" width="8.5" style="6" customWidth="1"/>
    <col min="13845" max="14083" width="10.6640625" style="6"/>
    <col min="14084" max="14084" width="13.1640625" style="6" customWidth="1"/>
    <col min="14085" max="14085" width="79" style="6" customWidth="1"/>
    <col min="14086" max="14086" width="3.83203125" style="6" customWidth="1"/>
    <col min="14087" max="14099" width="12.5" style="6" customWidth="1"/>
    <col min="14100" max="14100" width="8.5" style="6" customWidth="1"/>
    <col min="14101" max="14339" width="10.6640625" style="6"/>
    <col min="14340" max="14340" width="13.1640625" style="6" customWidth="1"/>
    <col min="14341" max="14341" width="79" style="6" customWidth="1"/>
    <col min="14342" max="14342" width="3.83203125" style="6" customWidth="1"/>
    <col min="14343" max="14355" width="12.5" style="6" customWidth="1"/>
    <col min="14356" max="14356" width="8.5" style="6" customWidth="1"/>
    <col min="14357" max="14595" width="10.6640625" style="6"/>
    <col min="14596" max="14596" width="13.1640625" style="6" customWidth="1"/>
    <col min="14597" max="14597" width="79" style="6" customWidth="1"/>
    <col min="14598" max="14598" width="3.83203125" style="6" customWidth="1"/>
    <col min="14599" max="14611" width="12.5" style="6" customWidth="1"/>
    <col min="14612" max="14612" width="8.5" style="6" customWidth="1"/>
    <col min="14613" max="14851" width="10.6640625" style="6"/>
    <col min="14852" max="14852" width="13.1640625" style="6" customWidth="1"/>
    <col min="14853" max="14853" width="79" style="6" customWidth="1"/>
    <col min="14854" max="14854" width="3.83203125" style="6" customWidth="1"/>
    <col min="14855" max="14867" width="12.5" style="6" customWidth="1"/>
    <col min="14868" max="14868" width="8.5" style="6" customWidth="1"/>
    <col min="14869" max="15107" width="10.6640625" style="6"/>
    <col min="15108" max="15108" width="13.1640625" style="6" customWidth="1"/>
    <col min="15109" max="15109" width="79" style="6" customWidth="1"/>
    <col min="15110" max="15110" width="3.83203125" style="6" customWidth="1"/>
    <col min="15111" max="15123" width="12.5" style="6" customWidth="1"/>
    <col min="15124" max="15124" width="8.5" style="6" customWidth="1"/>
    <col min="15125" max="15363" width="10.6640625" style="6"/>
    <col min="15364" max="15364" width="13.1640625" style="6" customWidth="1"/>
    <col min="15365" max="15365" width="79" style="6" customWidth="1"/>
    <col min="15366" max="15366" width="3.83203125" style="6" customWidth="1"/>
    <col min="15367" max="15379" width="12.5" style="6" customWidth="1"/>
    <col min="15380" max="15380" width="8.5" style="6" customWidth="1"/>
    <col min="15381" max="15619" width="10.6640625" style="6"/>
    <col min="15620" max="15620" width="13.1640625" style="6" customWidth="1"/>
    <col min="15621" max="15621" width="79" style="6" customWidth="1"/>
    <col min="15622" max="15622" width="3.83203125" style="6" customWidth="1"/>
    <col min="15623" max="15635" width="12.5" style="6" customWidth="1"/>
    <col min="15636" max="15636" width="8.5" style="6" customWidth="1"/>
    <col min="15637" max="15875" width="10.6640625" style="6"/>
    <col min="15876" max="15876" width="13.1640625" style="6" customWidth="1"/>
    <col min="15877" max="15877" width="79" style="6" customWidth="1"/>
    <col min="15878" max="15878" width="3.83203125" style="6" customWidth="1"/>
    <col min="15879" max="15891" width="12.5" style="6" customWidth="1"/>
    <col min="15892" max="15892" width="8.5" style="6" customWidth="1"/>
    <col min="15893" max="16131" width="10.6640625" style="6"/>
    <col min="16132" max="16132" width="13.1640625" style="6" customWidth="1"/>
    <col min="16133" max="16133" width="79" style="6" customWidth="1"/>
    <col min="16134" max="16134" width="3.83203125" style="6" customWidth="1"/>
    <col min="16135" max="16147" width="12.5" style="6" customWidth="1"/>
    <col min="16148" max="16148" width="8.5" style="6" customWidth="1"/>
    <col min="16149" max="16384" width="10.6640625" style="6"/>
  </cols>
  <sheetData>
    <row r="1" spans="1:24" ht="26.25" x14ac:dyDescent="0.3">
      <c r="A1" s="67"/>
      <c r="B1" s="68" t="s">
        <v>461</v>
      </c>
      <c r="C1" s="69" t="s">
        <v>256</v>
      </c>
      <c r="D1" s="69"/>
      <c r="E1" s="70"/>
      <c r="F1" s="71"/>
      <c r="G1" s="71"/>
      <c r="H1" s="72"/>
      <c r="I1" s="72"/>
      <c r="J1" s="72"/>
      <c r="K1" s="73" t="s">
        <v>203</v>
      </c>
      <c r="L1" s="72"/>
      <c r="M1" s="72"/>
      <c r="N1" s="74"/>
      <c r="O1" s="74"/>
      <c r="P1" s="72"/>
      <c r="Q1" s="72"/>
      <c r="R1" s="72"/>
      <c r="S1" s="72"/>
      <c r="T1" s="75"/>
    </row>
    <row r="2" spans="1:24" x14ac:dyDescent="0.2">
      <c r="A2" s="67"/>
      <c r="B2" s="76" t="s">
        <v>84</v>
      </c>
      <c r="C2" s="77"/>
      <c r="D2" s="78"/>
      <c r="E2" s="78"/>
      <c r="F2" s="79" t="s">
        <v>85</v>
      </c>
      <c r="G2" s="80"/>
      <c r="H2" s="81" t="s">
        <v>257</v>
      </c>
      <c r="I2" s="82"/>
      <c r="J2" s="81" t="s">
        <v>258</v>
      </c>
      <c r="K2" s="82"/>
      <c r="L2" s="81" t="s">
        <v>259</v>
      </c>
      <c r="M2" s="83"/>
      <c r="N2" s="226"/>
      <c r="O2" s="82"/>
      <c r="P2" s="84" t="s">
        <v>314</v>
      </c>
      <c r="Q2" s="85"/>
      <c r="R2" s="85"/>
      <c r="S2" s="86"/>
      <c r="T2" s="87" t="e">
        <f>IF(S4=0,0,S2/S4)</f>
        <v>#REF!</v>
      </c>
    </row>
    <row r="3" spans="1:24" ht="15" customHeight="1" thickBot="1" x14ac:dyDescent="0.25">
      <c r="A3" s="67"/>
      <c r="B3" s="88" t="s">
        <v>460</v>
      </c>
      <c r="C3" s="89"/>
      <c r="D3" s="90"/>
      <c r="E3" s="91"/>
      <c r="F3" s="92" t="s">
        <v>87</v>
      </c>
      <c r="G3" s="93"/>
      <c r="H3" s="94" t="s">
        <v>260</v>
      </c>
      <c r="I3" s="95">
        <f ca="1">TODAY()</f>
        <v>45042</v>
      </c>
      <c r="J3" s="94" t="s">
        <v>261</v>
      </c>
      <c r="K3" s="96">
        <f>80-10</f>
        <v>70</v>
      </c>
      <c r="L3" s="94" t="s">
        <v>260</v>
      </c>
      <c r="M3" s="97">
        <f ca="1">I3+K3+10</f>
        <v>45122</v>
      </c>
      <c r="N3" s="94"/>
      <c r="O3" s="227"/>
      <c r="P3" s="98" t="s">
        <v>262</v>
      </c>
      <c r="Q3" s="99"/>
      <c r="R3" s="100"/>
      <c r="S3" s="101" t="e">
        <f>S2-S21</f>
        <v>#REF!</v>
      </c>
      <c r="T3" s="102" t="e">
        <f>IF(S3=0,0,1-T2)</f>
        <v>#REF!</v>
      </c>
    </row>
    <row r="4" spans="1:24" ht="18.75" thickBot="1" x14ac:dyDescent="0.3">
      <c r="A4" s="67"/>
      <c r="B4" s="103" t="s">
        <v>263</v>
      </c>
      <c r="C4" s="104"/>
      <c r="D4" s="105"/>
      <c r="E4" s="106" t="s">
        <v>264</v>
      </c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 t="s">
        <v>265</v>
      </c>
      <c r="Q4" s="109"/>
      <c r="R4" s="109"/>
      <c r="S4" s="110" t="e">
        <f>SUM(S2:S3)</f>
        <v>#REF!</v>
      </c>
      <c r="T4" s="111" t="e">
        <f>SUM(T2:T3)</f>
        <v>#REF!</v>
      </c>
    </row>
    <row r="5" spans="1:24" ht="12.75" customHeight="1" thickBot="1" x14ac:dyDescent="0.25">
      <c r="A5" s="67"/>
      <c r="B5" s="498" t="s">
        <v>266</v>
      </c>
      <c r="C5" s="499" t="s">
        <v>267</v>
      </c>
      <c r="D5" s="500"/>
      <c r="E5" s="501" t="s">
        <v>35</v>
      </c>
      <c r="F5" s="502" t="s">
        <v>268</v>
      </c>
      <c r="G5" s="503"/>
      <c r="H5" s="503"/>
      <c r="I5" s="503"/>
      <c r="J5" s="503"/>
      <c r="K5" s="503"/>
      <c r="L5" s="503"/>
      <c r="M5" s="504"/>
      <c r="N5" s="504"/>
      <c r="O5" s="504"/>
      <c r="P5" s="505"/>
      <c r="Q5" s="506"/>
      <c r="R5" s="507"/>
      <c r="S5" s="508" t="s">
        <v>168</v>
      </c>
      <c r="T5" s="509" t="s">
        <v>269</v>
      </c>
      <c r="W5" s="6" t="s">
        <v>270</v>
      </c>
      <c r="X5" s="112" t="e">
        <f>IF(S4=S51,"OK","erro")</f>
        <v>#REF!</v>
      </c>
    </row>
    <row r="6" spans="1:24" ht="13.5" thickBot="1" x14ac:dyDescent="0.25">
      <c r="A6" s="67"/>
      <c r="B6" s="130" t="s">
        <v>271</v>
      </c>
      <c r="C6" s="510"/>
      <c r="D6" s="511"/>
      <c r="E6" s="113">
        <v>6</v>
      </c>
      <c r="F6" s="512">
        <f>IF(E6=0,0,1)</f>
        <v>1</v>
      </c>
      <c r="G6" s="512">
        <f>IF($E$6&lt;2,0,2)</f>
        <v>2</v>
      </c>
      <c r="H6" s="512">
        <f>IF($E$6&lt;3,0,3)</f>
        <v>3</v>
      </c>
      <c r="I6" s="512">
        <f>IF($E$6&lt;4,0,4)</f>
        <v>4</v>
      </c>
      <c r="J6" s="512">
        <f>IF($E$6&lt;5,0,5)</f>
        <v>5</v>
      </c>
      <c r="K6" s="512">
        <f>IF($E$6&lt;6,0,6)</f>
        <v>6</v>
      </c>
      <c r="L6" s="512">
        <f>IF($E$6&lt;7,0,7)</f>
        <v>0</v>
      </c>
      <c r="M6" s="512">
        <f>IF($E$6&lt;8,0,8)</f>
        <v>0</v>
      </c>
      <c r="N6" s="512">
        <f>IF($E$6&lt;9,0,9)</f>
        <v>0</v>
      </c>
      <c r="O6" s="512">
        <f>IF($E$6&lt;10,0,10)</f>
        <v>0</v>
      </c>
      <c r="P6" s="512">
        <f>IF($E$6&lt;11,0,11)</f>
        <v>0</v>
      </c>
      <c r="Q6" s="513">
        <f>IF($E$6&lt;12,0,12)</f>
        <v>0</v>
      </c>
      <c r="R6" s="131"/>
      <c r="S6" s="514" t="s">
        <v>272</v>
      </c>
      <c r="T6" s="515" t="s">
        <v>168</v>
      </c>
    </row>
    <row r="7" spans="1:24" ht="14.25" thickTop="1" thickBot="1" x14ac:dyDescent="0.25">
      <c r="A7" s="67"/>
      <c r="B7" s="130"/>
      <c r="C7" s="510" t="s">
        <v>273</v>
      </c>
      <c r="D7" s="511"/>
      <c r="E7" s="516"/>
      <c r="F7" s="517">
        <f ca="1">IF(E6=0,0,M3)</f>
        <v>45122</v>
      </c>
      <c r="G7" s="517">
        <f ca="1">IF(G6=0,0,F8+1)</f>
        <v>45153</v>
      </c>
      <c r="H7" s="517">
        <f ca="1">IF(H6=0,0,G8+1)</f>
        <v>45184</v>
      </c>
      <c r="I7" s="517">
        <f ca="1">IF(I6=0,0,H8+1)</f>
        <v>45215</v>
      </c>
      <c r="J7" s="517">
        <f ca="1">IF(J6=0,0,I8+1)</f>
        <v>45246</v>
      </c>
      <c r="K7" s="517">
        <f t="shared" ref="K7:Q7" ca="1" si="0">IF(K6=0,0,J8+1)</f>
        <v>45277</v>
      </c>
      <c r="L7" s="517">
        <f t="shared" si="0"/>
        <v>0</v>
      </c>
      <c r="M7" s="517">
        <f t="shared" si="0"/>
        <v>0</v>
      </c>
      <c r="N7" s="517">
        <f t="shared" si="0"/>
        <v>0</v>
      </c>
      <c r="O7" s="517">
        <f t="shared" si="0"/>
        <v>0</v>
      </c>
      <c r="P7" s="517">
        <f t="shared" si="0"/>
        <v>0</v>
      </c>
      <c r="Q7" s="518">
        <f t="shared" si="0"/>
        <v>0</v>
      </c>
      <c r="R7" s="519"/>
      <c r="S7" s="514"/>
      <c r="T7" s="515"/>
    </row>
    <row r="8" spans="1:24" ht="14.25" thickTop="1" thickBot="1" x14ac:dyDescent="0.25">
      <c r="A8" s="67"/>
      <c r="B8" s="130"/>
      <c r="C8" s="510" t="s">
        <v>274</v>
      </c>
      <c r="D8" s="511"/>
      <c r="E8" s="516"/>
      <c r="F8" s="517">
        <f ca="1">IF(E6=0,0,F7+30)</f>
        <v>45152</v>
      </c>
      <c r="G8" s="517">
        <f t="shared" ref="G8:I8" ca="1" si="1">IF(G6=0,0,G7+30)</f>
        <v>45183</v>
      </c>
      <c r="H8" s="517">
        <f t="shared" ca="1" si="1"/>
        <v>45214</v>
      </c>
      <c r="I8" s="517">
        <f t="shared" ca="1" si="1"/>
        <v>45245</v>
      </c>
      <c r="J8" s="517">
        <f ca="1">IF(J6=0,0,J7+30)</f>
        <v>45276</v>
      </c>
      <c r="K8" s="517">
        <f t="shared" ref="K8:Q8" ca="1" si="2">IF(K6=0,0,K7+30)</f>
        <v>45307</v>
      </c>
      <c r="L8" s="517">
        <f t="shared" si="2"/>
        <v>0</v>
      </c>
      <c r="M8" s="517">
        <f t="shared" si="2"/>
        <v>0</v>
      </c>
      <c r="N8" s="517">
        <f t="shared" si="2"/>
        <v>0</v>
      </c>
      <c r="O8" s="517">
        <f t="shared" si="2"/>
        <v>0</v>
      </c>
      <c r="P8" s="517">
        <f t="shared" si="2"/>
        <v>0</v>
      </c>
      <c r="Q8" s="518">
        <f t="shared" si="2"/>
        <v>0</v>
      </c>
      <c r="R8" s="519"/>
      <c r="S8" s="514"/>
      <c r="T8" s="515"/>
    </row>
    <row r="9" spans="1:24" ht="13.5" thickTop="1" x14ac:dyDescent="0.2">
      <c r="A9" s="114" t="str">
        <f>CONCATENATE($E$6,"|",B9)</f>
        <v>6|1</v>
      </c>
      <c r="B9" s="520" t="s">
        <v>170</v>
      </c>
      <c r="C9" s="521" t="s">
        <v>158</v>
      </c>
      <c r="D9" s="522"/>
      <c r="E9" s="523">
        <v>1</v>
      </c>
      <c r="F9" s="524">
        <f>IF(E$6&lt;3,0,IF(F$6=0,0,VLOOKUP($A9,base_cron_sfm!$A:$P,F$6+4,FALSE)))</f>
        <v>20</v>
      </c>
      <c r="G9" s="524">
        <f>IF(E$6&lt;3,0,IF(G$6=0,0,VLOOKUP($A9,base_cron_sfm!$A:$P,G$6+4,FALSE)))</f>
        <v>30</v>
      </c>
      <c r="H9" s="524">
        <f>IF(H$6=0,0,VLOOKUP($A9,base_cron_sfm!$A:$P,H$6+4,FALSE))</f>
        <v>30</v>
      </c>
      <c r="I9" s="524">
        <f>IF(I$6=0,0,VLOOKUP($A9,base_cron_sfm!$A:$P,I$6+4,FALSE))</f>
        <v>20</v>
      </c>
      <c r="J9" s="524">
        <f>IF(J$6=0,0,VLOOKUP($A9,base_cron_sfm!$A:$P,J$6+4,FALSE))</f>
        <v>0</v>
      </c>
      <c r="K9" s="524">
        <f>IF(K$6=0,0,VLOOKUP($A9,base_cron_sfm!$A:$P,K$6+4,FALSE))</f>
        <v>0</v>
      </c>
      <c r="L9" s="524">
        <f>IF(L$6=0,0,VLOOKUP($A9,base_cron_sfm!$A:$P,L$6+4,FALSE))</f>
        <v>0</v>
      </c>
      <c r="M9" s="524">
        <f>IF(M$6=0,0,VLOOKUP($A9,base_cron_sfm!$A:$P,M$6+4,FALSE))</f>
        <v>0</v>
      </c>
      <c r="N9" s="524">
        <f>IF(N$6=0,0,VLOOKUP($A9,base_cron_sfm!$A:$P,N$6+4,FALSE))</f>
        <v>0</v>
      </c>
      <c r="O9" s="524">
        <f>IF(O$6=0,0,VLOOKUP($A9,base_cron_sfm!$A:$P,O$6+4,FALSE))</f>
        <v>0</v>
      </c>
      <c r="P9" s="524">
        <f>IF(P$6=0,0,VLOOKUP($A9,base_cron_sfm!$A:$P,P$6+4,FALSE))</f>
        <v>0</v>
      </c>
      <c r="Q9" s="525">
        <f>IF(Q$6=0,0,VLOOKUP($A9,base_cron_sfm!$A:$P,Q$6+4,FALSE))</f>
        <v>0</v>
      </c>
      <c r="R9" s="526"/>
      <c r="S9" s="527" t="e">
        <f>VLOOKUP(B9,'planilha de serviços'!$A$7:$H$46,21,FALSE)</f>
        <v>#REF!</v>
      </c>
      <c r="T9" s="528" t="e">
        <f t="shared" ref="T9:T19" si="3">IF($S$21=0,0,(S9/$S$21)*100)</f>
        <v>#REF!</v>
      </c>
      <c r="W9" s="67">
        <f t="shared" ref="W9:W19" si="4">SUM(F9:Q9)</f>
        <v>100</v>
      </c>
    </row>
    <row r="10" spans="1:24" x14ac:dyDescent="0.2">
      <c r="A10" s="114" t="str">
        <f t="shared" ref="A10:A19" si="5">CONCATENATE($E$6,"|",B10)</f>
        <v>6|2</v>
      </c>
      <c r="B10" s="529" t="s">
        <v>90</v>
      </c>
      <c r="C10" s="521" t="s">
        <v>154</v>
      </c>
      <c r="D10" s="522"/>
      <c r="E10" s="523">
        <v>2</v>
      </c>
      <c r="F10" s="524">
        <f>IF(E$6&lt;3,0,IF(F$6=0,0,VLOOKUP($A10,base_cron_sfm!$A:$P,F$6+4,FALSE)))</f>
        <v>15</v>
      </c>
      <c r="G10" s="524">
        <f>IF(E$6&lt;3,0,IF(G$6=0,0,VLOOKUP($A10,base_cron_sfm!$A:$P,G$6+4,FALSE)))</f>
        <v>25</v>
      </c>
      <c r="H10" s="524">
        <f>IF(H$6=0,0,VLOOKUP($A10,base_cron_sfm!$A:$P,H$6+4,FALSE))</f>
        <v>30</v>
      </c>
      <c r="I10" s="524">
        <f>IF(I$6=0,0,VLOOKUP($A10,base_cron_sfm!$A:$P,I$6+4,FALSE))</f>
        <v>25</v>
      </c>
      <c r="J10" s="524">
        <f>IF(J$6=0,0,VLOOKUP($A10,base_cron_sfm!$A:$P,J$6+4,FALSE))</f>
        <v>5</v>
      </c>
      <c r="K10" s="524">
        <f>IF(K$6=0,0,VLOOKUP($A10,base_cron_sfm!$A:$P,K$6+4,FALSE))</f>
        <v>0</v>
      </c>
      <c r="L10" s="524">
        <f>IF(L$6=0,0,VLOOKUP($A10,base_cron_sfm!$A:$P,L$6+4,FALSE))</f>
        <v>0</v>
      </c>
      <c r="M10" s="524">
        <f>IF(M$6=0,0,VLOOKUP($A10,base_cron_sfm!$A:$P,M$6+4,FALSE))</f>
        <v>0</v>
      </c>
      <c r="N10" s="524">
        <f>IF(N$6=0,0,VLOOKUP($A10,base_cron_sfm!$A:$P,N$6+4,FALSE))</f>
        <v>0</v>
      </c>
      <c r="O10" s="524">
        <f>IF(O$6=0,0,VLOOKUP($A10,base_cron_sfm!$A:$P,O$6+4,FALSE))</f>
        <v>0</v>
      </c>
      <c r="P10" s="524">
        <f>IF(P$6=0,0,VLOOKUP($A10,base_cron_sfm!$A:$P,P$6+4,FALSE))</f>
        <v>0</v>
      </c>
      <c r="Q10" s="525">
        <f>IF(Q$6=0,0,VLOOKUP($A10,base_cron_sfm!$A:$P,Q$6+4,FALSE))</f>
        <v>0</v>
      </c>
      <c r="R10" s="526"/>
      <c r="S10" s="527" t="e">
        <f>VLOOKUP(B10,'planilha de serviços'!$A$7:$H$46,21,FALSE)</f>
        <v>#REF!</v>
      </c>
      <c r="T10" s="528" t="e">
        <f t="shared" si="3"/>
        <v>#REF!</v>
      </c>
      <c r="W10" s="67">
        <f t="shared" si="4"/>
        <v>100</v>
      </c>
    </row>
    <row r="11" spans="1:24" x14ac:dyDescent="0.2">
      <c r="A11" s="114" t="str">
        <f t="shared" si="5"/>
        <v>6|3</v>
      </c>
      <c r="B11" s="529" t="s">
        <v>95</v>
      </c>
      <c r="C11" s="521" t="s">
        <v>159</v>
      </c>
      <c r="D11" s="522"/>
      <c r="E11" s="523">
        <v>3</v>
      </c>
      <c r="F11" s="524">
        <f>IF(E$6&lt;3,0,IF(F$6=0,0,VLOOKUP($A11,base_cron_sfm!$A:$P,F$6+4,FALSE)))</f>
        <v>5</v>
      </c>
      <c r="G11" s="524">
        <f>IF(E$6&lt;3,0,IF(G$6=0,0,VLOOKUP($A11,base_cron_sfm!$A:$P,G$6+4,FALSE)))</f>
        <v>20</v>
      </c>
      <c r="H11" s="524">
        <f>IF(H$6=0,0,VLOOKUP($A11,base_cron_sfm!$A:$P,H$6+4,FALSE))</f>
        <v>30</v>
      </c>
      <c r="I11" s="524">
        <f>IF(I$6=0,0,VLOOKUP($A11,base_cron_sfm!$A:$P,I$6+4,FALSE))</f>
        <v>25</v>
      </c>
      <c r="J11" s="524">
        <f>IF(J$6=0,0,VLOOKUP($A11,base_cron_sfm!$A:$P,J$6+4,FALSE))</f>
        <v>20</v>
      </c>
      <c r="K11" s="524">
        <f>IF(K$6=0,0,VLOOKUP($A11,base_cron_sfm!$A:$P,K$6+4,FALSE))</f>
        <v>0</v>
      </c>
      <c r="L11" s="524">
        <f>IF(L$6=0,0,VLOOKUP($A11,base_cron_sfm!$A:$P,L$6+4,FALSE))</f>
        <v>0</v>
      </c>
      <c r="M11" s="524">
        <f>IF(M$6=0,0,VLOOKUP($A11,base_cron_sfm!$A:$P,M$6+4,FALSE))</f>
        <v>0</v>
      </c>
      <c r="N11" s="524">
        <f>IF(N$6=0,0,VLOOKUP($A11,base_cron_sfm!$A:$P,N$6+4,FALSE))</f>
        <v>0</v>
      </c>
      <c r="O11" s="524">
        <f>IF(O$6=0,0,VLOOKUP($A11,base_cron_sfm!$A:$P,O$6+4,FALSE))</f>
        <v>0</v>
      </c>
      <c r="P11" s="524">
        <f>IF(P$6=0,0,VLOOKUP($A11,base_cron_sfm!$A:$P,P$6+4,FALSE))</f>
        <v>0</v>
      </c>
      <c r="Q11" s="525">
        <f>IF(Q$6=0,0,VLOOKUP($A11,base_cron_sfm!$A:$P,Q$6+4,FALSE))</f>
        <v>0</v>
      </c>
      <c r="R11" s="526"/>
      <c r="S11" s="527" t="e">
        <f>VLOOKUP(B11,'planilha de serviços'!$A$7:$H$46,21,FALSE)</f>
        <v>#REF!</v>
      </c>
      <c r="T11" s="528" t="e">
        <f t="shared" si="3"/>
        <v>#REF!</v>
      </c>
      <c r="W11" s="67">
        <f t="shared" si="4"/>
        <v>100</v>
      </c>
    </row>
    <row r="12" spans="1:24" x14ac:dyDescent="0.2">
      <c r="A12" s="114" t="str">
        <f t="shared" si="5"/>
        <v>6|4</v>
      </c>
      <c r="B12" s="529" t="s">
        <v>97</v>
      </c>
      <c r="C12" s="521" t="s">
        <v>155</v>
      </c>
      <c r="D12" s="522"/>
      <c r="E12" s="523">
        <v>4</v>
      </c>
      <c r="F12" s="524">
        <f>IF(E$6&lt;3,0,IF(F$6=0,0,VLOOKUP($A12,base_cron_sfm!$A:$P,F$6+4,FALSE)))</f>
        <v>0</v>
      </c>
      <c r="G12" s="524">
        <f>IF(E$6&lt;3,0,IF(G$6=0,0,VLOOKUP($A12,base_cron_sfm!$A:$P,G$6+4,FALSE)))</f>
        <v>5</v>
      </c>
      <c r="H12" s="524">
        <f>IF(H$6=0,0,VLOOKUP($A12,base_cron_sfm!$A:$P,H$6+4,FALSE))</f>
        <v>20</v>
      </c>
      <c r="I12" s="524">
        <f>IF(I$6=0,0,VLOOKUP($A12,base_cron_sfm!$A:$P,I$6+4,FALSE))</f>
        <v>30</v>
      </c>
      <c r="J12" s="524">
        <f>IF(J$6=0,0,VLOOKUP($A12,base_cron_sfm!$A:$P,J$6+4,FALSE))</f>
        <v>25</v>
      </c>
      <c r="K12" s="524">
        <f>IF(K$6=0,0,VLOOKUP($A12,base_cron_sfm!$A:$P,K$6+4,FALSE))</f>
        <v>20</v>
      </c>
      <c r="L12" s="524">
        <f>IF(L$6=0,0,VLOOKUP($A12,base_cron_sfm!$A:$P,L$6+4,FALSE))</f>
        <v>0</v>
      </c>
      <c r="M12" s="524">
        <f>IF(M$6=0,0,VLOOKUP($A12,base_cron_sfm!$A:$P,M$6+4,FALSE))</f>
        <v>0</v>
      </c>
      <c r="N12" s="524">
        <f>IF(N$6=0,0,VLOOKUP($A12,base_cron_sfm!$A:$P,N$6+4,FALSE))</f>
        <v>0</v>
      </c>
      <c r="O12" s="524">
        <f>IF(O$6=0,0,VLOOKUP($A12,base_cron_sfm!$A:$P,O$6+4,FALSE))</f>
        <v>0</v>
      </c>
      <c r="P12" s="524">
        <f>IF(P$6=0,0,VLOOKUP($A12,base_cron_sfm!$A:$P,P$6+4,FALSE))</f>
        <v>0</v>
      </c>
      <c r="Q12" s="525">
        <f>IF(Q$6=0,0,VLOOKUP($A12,base_cron_sfm!$A:$P,Q$6+4,FALSE))</f>
        <v>0</v>
      </c>
      <c r="R12" s="526"/>
      <c r="S12" s="527" t="e">
        <f>VLOOKUP(B12,'planilha de serviços'!$A$7:$H$46,21,FALSE)</f>
        <v>#REF!</v>
      </c>
      <c r="T12" s="528" t="e">
        <f t="shared" si="3"/>
        <v>#REF!</v>
      </c>
      <c r="W12" s="67">
        <f t="shared" si="4"/>
        <v>100</v>
      </c>
    </row>
    <row r="13" spans="1:24" x14ac:dyDescent="0.2">
      <c r="A13" s="114" t="str">
        <f t="shared" si="5"/>
        <v>6|5</v>
      </c>
      <c r="B13" s="529" t="s">
        <v>89</v>
      </c>
      <c r="C13" s="521" t="s">
        <v>156</v>
      </c>
      <c r="D13" s="522"/>
      <c r="E13" s="523">
        <v>5</v>
      </c>
      <c r="F13" s="524">
        <f>IF(E$6&lt;3,0,IF(F$6=0,0,VLOOKUP($A13,base_cron_sfm!$A:$P,F$6+4,FALSE)))</f>
        <v>0</v>
      </c>
      <c r="G13" s="524">
        <f>IF(E$6&lt;3,0,IF(G$6=0,0,VLOOKUP($A13,base_cron_sfm!$A:$P,G$6+4,FALSE)))</f>
        <v>15</v>
      </c>
      <c r="H13" s="524">
        <f>IF(H$6=0,0,VLOOKUP($A13,base_cron_sfm!$A:$P,H$6+4,FALSE))</f>
        <v>30</v>
      </c>
      <c r="I13" s="524">
        <f>IF(I$6=0,0,VLOOKUP($A13,base_cron_sfm!$A:$P,I$6+4,FALSE))</f>
        <v>30</v>
      </c>
      <c r="J13" s="524">
        <f>IF(J$6=0,0,VLOOKUP($A13,base_cron_sfm!$A:$P,J$6+4,FALSE))</f>
        <v>25</v>
      </c>
      <c r="K13" s="524">
        <f>IF(K$6=0,0,VLOOKUP($A13,base_cron_sfm!$A:$P,K$6+4,FALSE))</f>
        <v>0</v>
      </c>
      <c r="L13" s="524">
        <f>IF(L$6=0,0,VLOOKUP($A13,base_cron_sfm!$A:$P,L$6+4,FALSE))</f>
        <v>0</v>
      </c>
      <c r="M13" s="524">
        <f>IF(M$6=0,0,VLOOKUP($A13,base_cron_sfm!$A:$P,M$6+4,FALSE))</f>
        <v>0</v>
      </c>
      <c r="N13" s="524">
        <f>IF(N$6=0,0,VLOOKUP($A13,base_cron_sfm!$A:$P,N$6+4,FALSE))</f>
        <v>0</v>
      </c>
      <c r="O13" s="524">
        <f>IF(O$6=0,0,VLOOKUP($A13,base_cron_sfm!$A:$P,O$6+4,FALSE))</f>
        <v>0</v>
      </c>
      <c r="P13" s="524">
        <f>IF(P$6=0,0,VLOOKUP($A13,base_cron_sfm!$A:$P,P$6+4,FALSE))</f>
        <v>0</v>
      </c>
      <c r="Q13" s="525">
        <f>IF(Q$6=0,0,VLOOKUP($A13,base_cron_sfm!$A:$P,Q$6+4,FALSE))</f>
        <v>0</v>
      </c>
      <c r="R13" s="526"/>
      <c r="S13" s="527" t="e">
        <f>VLOOKUP(B13,'planilha de serviços'!$A$7:$H$46,21,FALSE)</f>
        <v>#REF!</v>
      </c>
      <c r="T13" s="528" t="e">
        <f t="shared" si="3"/>
        <v>#REF!</v>
      </c>
      <c r="W13" s="67">
        <f t="shared" si="4"/>
        <v>100</v>
      </c>
    </row>
    <row r="14" spans="1:24" x14ac:dyDescent="0.2">
      <c r="A14" s="114" t="str">
        <f t="shared" si="5"/>
        <v>6|6</v>
      </c>
      <c r="B14" s="529" t="s">
        <v>98</v>
      </c>
      <c r="C14" s="521" t="s">
        <v>201</v>
      </c>
      <c r="D14" s="522"/>
      <c r="E14" s="523">
        <v>3</v>
      </c>
      <c r="F14" s="524">
        <f>IF(E$6&lt;3,0,IF(F$6=0,0,VLOOKUP($A14,base_cron_sfm!$A:$P,F$6+4,FALSE)))</f>
        <v>0</v>
      </c>
      <c r="G14" s="524">
        <f>IF(E$6&lt;3,0,IF(G$6=0,0,VLOOKUP($A14,base_cron_sfm!$A:$P,G$6+4,FALSE)))</f>
        <v>5</v>
      </c>
      <c r="H14" s="524">
        <f>IF(H$6=0,0,VLOOKUP($A14,base_cron_sfm!$A:$P,H$6+4,FALSE))</f>
        <v>10</v>
      </c>
      <c r="I14" s="524">
        <f>IF(I$6=0,0,VLOOKUP($A14,base_cron_sfm!$A:$P,I$6+4,FALSE))</f>
        <v>30</v>
      </c>
      <c r="J14" s="524">
        <f>IF(J$6=0,0,VLOOKUP($A14,base_cron_sfm!$A:$P,J$6+4,FALSE))</f>
        <v>30</v>
      </c>
      <c r="K14" s="524">
        <f>IF(K$6=0,0,VLOOKUP($A14,base_cron_sfm!$A:$P,K$6+4,FALSE))</f>
        <v>25</v>
      </c>
      <c r="L14" s="524">
        <f>IF(L$6=0,0,VLOOKUP($A14,base_cron_sfm!$A:$P,L$6+4,FALSE))</f>
        <v>0</v>
      </c>
      <c r="M14" s="524">
        <f>IF(M$6=0,0,VLOOKUP($A14,base_cron_sfm!$A:$P,M$6+4,FALSE))</f>
        <v>0</v>
      </c>
      <c r="N14" s="524">
        <f>IF(N$6=0,0,VLOOKUP($A14,base_cron_sfm!$A:$P,N$6+4,FALSE))</f>
        <v>0</v>
      </c>
      <c r="O14" s="524">
        <f>IF(O$6=0,0,VLOOKUP($A14,base_cron_sfm!$A:$P,O$6+4,FALSE))</f>
        <v>0</v>
      </c>
      <c r="P14" s="524">
        <f>IF(P$6=0,0,VLOOKUP($A14,base_cron_sfm!$A:$P,P$6+4,FALSE))</f>
        <v>0</v>
      </c>
      <c r="Q14" s="525">
        <f>IF(Q$6=0,0,VLOOKUP($A14,base_cron_sfm!$A:$P,Q$6+4,FALSE))</f>
        <v>0</v>
      </c>
      <c r="R14" s="526"/>
      <c r="S14" s="527" t="e">
        <f>VLOOKUP(B14,'planilha de serviços'!$A$7:$H$46,21,FALSE)</f>
        <v>#REF!</v>
      </c>
      <c r="T14" s="528" t="e">
        <f t="shared" si="3"/>
        <v>#REF!</v>
      </c>
      <c r="W14" s="67">
        <f t="shared" si="4"/>
        <v>100</v>
      </c>
    </row>
    <row r="15" spans="1:24" x14ac:dyDescent="0.2">
      <c r="A15" s="114" t="str">
        <f t="shared" si="5"/>
        <v>6|7</v>
      </c>
      <c r="B15" s="529" t="s">
        <v>153</v>
      </c>
      <c r="C15" s="521" t="s">
        <v>161</v>
      </c>
      <c r="D15" s="522"/>
      <c r="E15" s="523">
        <v>5</v>
      </c>
      <c r="F15" s="524">
        <f>IF(E$6&lt;3,0,IF(F$6=0,0,VLOOKUP($A15,base_cron_sfm!$A:$P,F$6+4,FALSE)))</f>
        <v>0</v>
      </c>
      <c r="G15" s="524">
        <f>IF(E$6&lt;3,0,IF(G$6=0,0,VLOOKUP($A15,base_cron_sfm!$A:$P,G$6+4,FALSE)))</f>
        <v>0</v>
      </c>
      <c r="H15" s="524">
        <f>IF(H$6=0,0,VLOOKUP($A15,base_cron_sfm!$A:$P,H$6+4,FALSE))</f>
        <v>20</v>
      </c>
      <c r="I15" s="524">
        <f>IF(I$6=0,0,VLOOKUP($A15,base_cron_sfm!$A:$P,I$6+4,FALSE))</f>
        <v>20</v>
      </c>
      <c r="J15" s="524">
        <f>IF(J$6=0,0,VLOOKUP($A15,base_cron_sfm!$A:$P,J$6+4,FALSE))</f>
        <v>30</v>
      </c>
      <c r="K15" s="524">
        <f>IF(K$6=0,0,VLOOKUP($A15,base_cron_sfm!$A:$P,K$6+4,FALSE))</f>
        <v>30</v>
      </c>
      <c r="L15" s="524">
        <f>IF(L$6=0,0,VLOOKUP($A15,base_cron_sfm!$A:$P,L$6+4,FALSE))</f>
        <v>0</v>
      </c>
      <c r="M15" s="524">
        <f>IF(M$6=0,0,VLOOKUP($A15,base_cron_sfm!$A:$P,M$6+4,FALSE))</f>
        <v>0</v>
      </c>
      <c r="N15" s="524">
        <f>IF(N$6=0,0,VLOOKUP($A15,base_cron_sfm!$A:$P,N$6+4,FALSE))</f>
        <v>0</v>
      </c>
      <c r="O15" s="524">
        <f>IF(O$6=0,0,VLOOKUP($A15,base_cron_sfm!$A:$P,O$6+4,FALSE))</f>
        <v>0</v>
      </c>
      <c r="P15" s="524">
        <f>IF(P$6=0,0,VLOOKUP($A15,base_cron_sfm!$A:$P,P$6+4,FALSE))</f>
        <v>0</v>
      </c>
      <c r="Q15" s="525">
        <f>IF(Q$6=0,0,VLOOKUP($A15,base_cron_sfm!$A:$P,Q$6+4,FALSE))</f>
        <v>0</v>
      </c>
      <c r="R15" s="526"/>
      <c r="S15" s="527" t="e">
        <f>VLOOKUP(B15,'planilha de serviços'!$A$7:$H$46,21,FALSE)</f>
        <v>#REF!</v>
      </c>
      <c r="T15" s="528" t="e">
        <f t="shared" si="3"/>
        <v>#REF!</v>
      </c>
      <c r="W15" s="67">
        <f t="shared" si="4"/>
        <v>100</v>
      </c>
    </row>
    <row r="16" spans="1:24" x14ac:dyDescent="0.2">
      <c r="A16" s="114" t="str">
        <f t="shared" si="5"/>
        <v>6|8</v>
      </c>
      <c r="B16" s="529" t="s">
        <v>110</v>
      </c>
      <c r="C16" s="521" t="s">
        <v>162</v>
      </c>
      <c r="D16" s="522"/>
      <c r="E16" s="523">
        <v>6</v>
      </c>
      <c r="F16" s="524">
        <f>IF(E$6&lt;3,0,IF(F$6=0,0,VLOOKUP($A16,base_cron_sfm!$A:$P,F$6+4,FALSE)))</f>
        <v>0</v>
      </c>
      <c r="G16" s="524">
        <f>IF(E$6&lt;3,0,IF(G$6=0,0,VLOOKUP($A16,base_cron_sfm!$A:$P,G$6+4,FALSE)))</f>
        <v>0</v>
      </c>
      <c r="H16" s="524">
        <f>IF(H$6=0,0,VLOOKUP($A16,base_cron_sfm!$A:$P,H$6+4,FALSE))</f>
        <v>20</v>
      </c>
      <c r="I16" s="524">
        <f>IF(I$6=0,0,VLOOKUP($A16,base_cron_sfm!$A:$P,I$6+4,FALSE))</f>
        <v>30</v>
      </c>
      <c r="J16" s="524">
        <f>IF(J$6=0,0,VLOOKUP($A16,base_cron_sfm!$A:$P,J$6+4,FALSE))</f>
        <v>30</v>
      </c>
      <c r="K16" s="524">
        <f>IF(K$6=0,0,VLOOKUP($A16,base_cron_sfm!$A:$P,K$6+4,FALSE))</f>
        <v>20</v>
      </c>
      <c r="L16" s="524">
        <f>IF(L$6=0,0,VLOOKUP($A16,base_cron_sfm!$A:$P,L$6+4,FALSE))</f>
        <v>0</v>
      </c>
      <c r="M16" s="524">
        <f>IF(M$6=0,0,VLOOKUP($A16,base_cron_sfm!$A:$P,M$6+4,FALSE))</f>
        <v>0</v>
      </c>
      <c r="N16" s="524">
        <f>IF(N$6=0,0,VLOOKUP($A16,base_cron_sfm!$A:$P,N$6+4,FALSE))</f>
        <v>0</v>
      </c>
      <c r="O16" s="524">
        <f>IF(O$6=0,0,VLOOKUP($A16,base_cron_sfm!$A:$P,O$6+4,FALSE))</f>
        <v>0</v>
      </c>
      <c r="P16" s="524">
        <f>IF(P$6=0,0,VLOOKUP($A16,base_cron_sfm!$A:$P,P$6+4,FALSE))</f>
        <v>0</v>
      </c>
      <c r="Q16" s="525">
        <f>IF(Q$6=0,0,VLOOKUP($A16,base_cron_sfm!$A:$P,Q$6+4,FALSE))</f>
        <v>0</v>
      </c>
      <c r="R16" s="526"/>
      <c r="S16" s="527" t="e">
        <f>VLOOKUP(B16,'planilha de serviços'!$A$7:$H$46,21,FALSE)</f>
        <v>#N/A</v>
      </c>
      <c r="T16" s="528" t="e">
        <f t="shared" si="3"/>
        <v>#REF!</v>
      </c>
      <c r="W16" s="67">
        <f t="shared" si="4"/>
        <v>100</v>
      </c>
    </row>
    <row r="17" spans="1:23" x14ac:dyDescent="0.2">
      <c r="A17" s="114" t="str">
        <f t="shared" si="5"/>
        <v>6|9</v>
      </c>
      <c r="B17" s="529" t="s">
        <v>163</v>
      </c>
      <c r="C17" s="521" t="s">
        <v>164</v>
      </c>
      <c r="D17" s="522"/>
      <c r="E17" s="523">
        <v>6</v>
      </c>
      <c r="F17" s="524">
        <f>IF(E$6&lt;3,0,IF(F$6=0,0,VLOOKUP($A17,base_cron_sfm!$A:$P,F$6+4,FALSE)))</f>
        <v>5</v>
      </c>
      <c r="G17" s="524">
        <f>IF(E$6&lt;3,0,IF(G$6=0,0,VLOOKUP($A17,base_cron_sfm!$A:$P,G$6+4,FALSE)))</f>
        <v>15</v>
      </c>
      <c r="H17" s="524">
        <f>IF(H$6=0,0,VLOOKUP($A17,base_cron_sfm!$A:$P,H$6+4,FALSE))</f>
        <v>25</v>
      </c>
      <c r="I17" s="524">
        <f>IF(I$6=0,0,VLOOKUP($A17,base_cron_sfm!$A:$P,I$6+4,FALSE))</f>
        <v>25</v>
      </c>
      <c r="J17" s="524">
        <f>IF(J$6=0,0,VLOOKUP($A17,base_cron_sfm!$A:$P,J$6+4,FALSE))</f>
        <v>20</v>
      </c>
      <c r="K17" s="524">
        <f>IF(K$6=0,0,VLOOKUP($A17,base_cron_sfm!$A:$P,K$6+4,FALSE))</f>
        <v>10</v>
      </c>
      <c r="L17" s="524">
        <f>IF(L$6=0,0,VLOOKUP($A17,base_cron_sfm!$A:$P,L$6+4,FALSE))</f>
        <v>0</v>
      </c>
      <c r="M17" s="524">
        <f>IF(M$6=0,0,VLOOKUP($A17,base_cron_sfm!$A:$P,M$6+4,FALSE))</f>
        <v>0</v>
      </c>
      <c r="N17" s="524">
        <f>IF(N$6=0,0,VLOOKUP($A17,base_cron_sfm!$A:$P,N$6+4,FALSE))</f>
        <v>0</v>
      </c>
      <c r="O17" s="524">
        <f>IF(O$6=0,0,VLOOKUP($A17,base_cron_sfm!$A:$P,O$6+4,FALSE))</f>
        <v>0</v>
      </c>
      <c r="P17" s="524">
        <f>IF(P$6=0,0,VLOOKUP($A17,base_cron_sfm!$A:$P,P$6+4,FALSE))</f>
        <v>0</v>
      </c>
      <c r="Q17" s="525">
        <f>IF(Q$6=0,0,VLOOKUP($A17,base_cron_sfm!$A:$P,Q$6+4,FALSE))</f>
        <v>0</v>
      </c>
      <c r="R17" s="526"/>
      <c r="S17" s="527" t="e">
        <f>VLOOKUP(B17,'planilha de serviços'!$A$7:$H$46,21,FALSE)</f>
        <v>#N/A</v>
      </c>
      <c r="T17" s="528" t="e">
        <f t="shared" si="3"/>
        <v>#REF!</v>
      </c>
      <c r="W17" s="67">
        <f t="shared" si="4"/>
        <v>100</v>
      </c>
    </row>
    <row r="18" spans="1:23" x14ac:dyDescent="0.2">
      <c r="A18" s="114" t="str">
        <f t="shared" si="5"/>
        <v>6|10</v>
      </c>
      <c r="B18" s="529" t="s">
        <v>165</v>
      </c>
      <c r="C18" s="521" t="s">
        <v>157</v>
      </c>
      <c r="D18" s="522"/>
      <c r="E18" s="523"/>
      <c r="F18" s="524">
        <f>IF(E$6&lt;3,0,IF(F$6=0,0,VLOOKUP($A18,base_cron_sfm!$A:$P,F$6+4,FALSE)))</f>
        <v>20</v>
      </c>
      <c r="G18" s="524">
        <f>IF(E$6&lt;3,0,IF(G$6=0,0,VLOOKUP($A18,base_cron_sfm!$A:$P,G$6+4,FALSE)))</f>
        <v>30</v>
      </c>
      <c r="H18" s="524">
        <f>IF(H$6=0,0,VLOOKUP($A18,base_cron_sfm!$A:$P,H$6+4,FALSE))</f>
        <v>30</v>
      </c>
      <c r="I18" s="524">
        <f>IF(I$6=0,0,VLOOKUP($A18,base_cron_sfm!$A:$P,I$6+4,FALSE))</f>
        <v>15</v>
      </c>
      <c r="J18" s="524">
        <f>IF(J$6=0,0,VLOOKUP($A18,base_cron_sfm!$A:$P,J$6+4,FALSE))</f>
        <v>5</v>
      </c>
      <c r="K18" s="524">
        <f>IF(K$6=0,0,VLOOKUP($A18,base_cron_sfm!$A:$P,K$6+4,FALSE))</f>
        <v>0</v>
      </c>
      <c r="L18" s="524">
        <f>IF(L$6=0,0,VLOOKUP($A18,base_cron_sfm!$A:$P,L$6+4,FALSE))</f>
        <v>0</v>
      </c>
      <c r="M18" s="524">
        <f>IF(M$6=0,0,VLOOKUP($A18,base_cron_sfm!$A:$P,M$6+4,FALSE))</f>
        <v>0</v>
      </c>
      <c r="N18" s="524">
        <f>IF(N$6=0,0,VLOOKUP($A18,base_cron_sfm!$A:$P,N$6+4,FALSE))</f>
        <v>0</v>
      </c>
      <c r="O18" s="524">
        <f>IF(O$6=0,0,VLOOKUP($A18,base_cron_sfm!$A:$P,O$6+4,FALSE))</f>
        <v>0</v>
      </c>
      <c r="P18" s="524">
        <f>IF(P$6=0,0,VLOOKUP($A18,base_cron_sfm!$A:$P,P$6+4,FALSE))</f>
        <v>0</v>
      </c>
      <c r="Q18" s="525">
        <f>IF(Q$6=0,0,VLOOKUP($A18,base_cron_sfm!$A:$P,Q$6+4,FALSE))</f>
        <v>0</v>
      </c>
      <c r="R18" s="526"/>
      <c r="S18" s="527" t="e">
        <f>VLOOKUP(B18,'planilha de serviços'!$A$7:$H$46,21,FALSE)</f>
        <v>#REF!</v>
      </c>
      <c r="T18" s="528" t="e">
        <f t="shared" si="3"/>
        <v>#REF!</v>
      </c>
      <c r="W18" s="67">
        <f t="shared" si="4"/>
        <v>100</v>
      </c>
    </row>
    <row r="19" spans="1:23" x14ac:dyDescent="0.2">
      <c r="A19" s="114" t="str">
        <f t="shared" si="5"/>
        <v>6|11</v>
      </c>
      <c r="B19" s="529" t="s">
        <v>172</v>
      </c>
      <c r="C19" s="521" t="s">
        <v>189</v>
      </c>
      <c r="D19" s="522"/>
      <c r="E19" s="523"/>
      <c r="F19" s="524">
        <f>IF(E$6&lt;3,0,IF(F$6=0,0,VLOOKUP($A19,base_cron_sfm!$A:$P,F$6+4,FALSE)))</f>
        <v>3</v>
      </c>
      <c r="G19" s="524">
        <f>IF(E$6&lt;3,0,IF(G$6=0,0,VLOOKUP($A19,base_cron_sfm!$A:$P,G$6+4,FALSE)))</f>
        <v>12</v>
      </c>
      <c r="H19" s="524">
        <f>IF(H$6=0,0,VLOOKUP($A19,base_cron_sfm!$A:$P,H$6+4,FALSE))</f>
        <v>25</v>
      </c>
      <c r="I19" s="524">
        <f>IF(I$6=0,0,VLOOKUP($A19,base_cron_sfm!$A:$P,I$6+4,FALSE))</f>
        <v>28</v>
      </c>
      <c r="J19" s="524">
        <f>IF(J$6=0,0,VLOOKUP($A19,base_cron_sfm!$A:$P,J$6+4,FALSE))</f>
        <v>21</v>
      </c>
      <c r="K19" s="524">
        <f>IF(K$6=0,0,VLOOKUP($A19,base_cron_sfm!$A:$P,K$6+4,FALSE))</f>
        <v>11</v>
      </c>
      <c r="L19" s="524">
        <f>IF(L$6=0,0,VLOOKUP($A19,base_cron_sfm!$A:$P,L$6+4,FALSE))</f>
        <v>0</v>
      </c>
      <c r="M19" s="524">
        <f>IF(M$6=0,0,VLOOKUP($A19,base_cron_sfm!$A:$P,M$6+4,FALSE))</f>
        <v>0</v>
      </c>
      <c r="N19" s="524">
        <f>IF(N$6=0,0,VLOOKUP($A19,base_cron_sfm!$A:$P,N$6+4,FALSE))</f>
        <v>0</v>
      </c>
      <c r="O19" s="524">
        <f>IF(O$6=0,0,VLOOKUP($A19,base_cron_sfm!$A:$P,O$6+4,FALSE))</f>
        <v>0</v>
      </c>
      <c r="P19" s="524">
        <f>IF(P$6=0,0,VLOOKUP($A19,base_cron_sfm!$A:$P,P$6+4,FALSE))</f>
        <v>0</v>
      </c>
      <c r="Q19" s="525">
        <f>IF(Q$6=0,0,VLOOKUP($A19,base_cron_sfm!$A:$P,Q$6+4,FALSE))</f>
        <v>0</v>
      </c>
      <c r="R19" s="526"/>
      <c r="S19" s="527" t="e">
        <f>VLOOKUP(B19,'planilha de serviços'!$A$7:$H$46,21,FALSE)</f>
        <v>#REF!</v>
      </c>
      <c r="T19" s="528" t="e">
        <f t="shared" si="3"/>
        <v>#REF!</v>
      </c>
      <c r="W19" s="67">
        <f t="shared" si="4"/>
        <v>100</v>
      </c>
    </row>
    <row r="20" spans="1:23" ht="13.5" thickBot="1" x14ac:dyDescent="0.25">
      <c r="A20" s="67"/>
      <c r="B20" s="115"/>
      <c r="C20" s="116"/>
      <c r="D20" s="116"/>
      <c r="E20" s="116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8"/>
      <c r="T20" s="119"/>
    </row>
    <row r="21" spans="1:23" ht="14.25" thickTop="1" thickBot="1" x14ac:dyDescent="0.25">
      <c r="A21" s="67"/>
      <c r="B21" s="120"/>
      <c r="C21" s="121" t="s">
        <v>275</v>
      </c>
      <c r="D21" s="121" t="s">
        <v>275</v>
      </c>
      <c r="E21" s="122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4" t="e">
        <f>SUM(S9:S20)</f>
        <v>#REF!</v>
      </c>
      <c r="T21" s="125" t="e">
        <f>SUM(T9:T19)</f>
        <v>#REF!</v>
      </c>
    </row>
    <row r="22" spans="1:23" ht="18.75" thickTop="1" x14ac:dyDescent="0.25">
      <c r="A22" s="67"/>
      <c r="B22" s="126" t="s">
        <v>315</v>
      </c>
      <c r="C22" s="127"/>
      <c r="D22" s="127"/>
      <c r="E22" s="127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9"/>
    </row>
    <row r="23" spans="1:23" ht="13.5" thickBot="1" x14ac:dyDescent="0.25">
      <c r="A23" s="67"/>
      <c r="B23" s="130" t="s">
        <v>271</v>
      </c>
      <c r="C23" s="131"/>
      <c r="D23" s="131"/>
      <c r="E23" s="131"/>
      <c r="F23" s="132" t="s">
        <v>276</v>
      </c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3"/>
      <c r="R23" s="507" t="s">
        <v>277</v>
      </c>
      <c r="S23" s="134" t="s">
        <v>168</v>
      </c>
      <c r="T23" s="135" t="s">
        <v>269</v>
      </c>
    </row>
    <row r="24" spans="1:23" ht="13.5" thickTop="1" x14ac:dyDescent="0.2">
      <c r="A24" s="67"/>
      <c r="B24" s="136"/>
      <c r="C24" s="137"/>
      <c r="D24" s="138"/>
      <c r="E24" s="138"/>
      <c r="F24" s="139">
        <f t="shared" ref="F24:Q24" si="6">F6</f>
        <v>1</v>
      </c>
      <c r="G24" s="139">
        <f t="shared" si="6"/>
        <v>2</v>
      </c>
      <c r="H24" s="139">
        <f t="shared" si="6"/>
        <v>3</v>
      </c>
      <c r="I24" s="139">
        <f t="shared" si="6"/>
        <v>4</v>
      </c>
      <c r="J24" s="139">
        <f t="shared" si="6"/>
        <v>5</v>
      </c>
      <c r="K24" s="139">
        <f t="shared" si="6"/>
        <v>6</v>
      </c>
      <c r="L24" s="139">
        <f t="shared" si="6"/>
        <v>0</v>
      </c>
      <c r="M24" s="139">
        <f t="shared" si="6"/>
        <v>0</v>
      </c>
      <c r="N24" s="139">
        <f t="shared" si="6"/>
        <v>0</v>
      </c>
      <c r="O24" s="139">
        <f t="shared" si="6"/>
        <v>0</v>
      </c>
      <c r="P24" s="139">
        <f t="shared" si="6"/>
        <v>0</v>
      </c>
      <c r="Q24" s="140">
        <f t="shared" si="6"/>
        <v>0</v>
      </c>
      <c r="R24" s="530" t="s">
        <v>278</v>
      </c>
      <c r="S24" s="141" t="s">
        <v>271</v>
      </c>
      <c r="T24" s="142" t="s">
        <v>271</v>
      </c>
    </row>
    <row r="25" spans="1:23" x14ac:dyDescent="0.2">
      <c r="A25" s="67"/>
      <c r="B25" s="143" t="s">
        <v>279</v>
      </c>
      <c r="C25" s="144" t="s">
        <v>158</v>
      </c>
      <c r="D25" s="145" t="s">
        <v>316</v>
      </c>
      <c r="E25" s="146" t="s">
        <v>280</v>
      </c>
      <c r="F25" s="147" t="e">
        <f t="shared" ref="F25:Q25" si="7">((F9/100)*$S$9)*$T$2</f>
        <v>#REF!</v>
      </c>
      <c r="G25" s="147" t="e">
        <f t="shared" si="7"/>
        <v>#REF!</v>
      </c>
      <c r="H25" s="147" t="e">
        <f t="shared" si="7"/>
        <v>#REF!</v>
      </c>
      <c r="I25" s="147" t="e">
        <f t="shared" si="7"/>
        <v>#REF!</v>
      </c>
      <c r="J25" s="147" t="e">
        <f t="shared" si="7"/>
        <v>#REF!</v>
      </c>
      <c r="K25" s="147" t="e">
        <f t="shared" si="7"/>
        <v>#REF!</v>
      </c>
      <c r="L25" s="147" t="e">
        <f t="shared" si="7"/>
        <v>#REF!</v>
      </c>
      <c r="M25" s="147" t="e">
        <f t="shared" si="7"/>
        <v>#REF!</v>
      </c>
      <c r="N25" s="147" t="e">
        <f t="shared" si="7"/>
        <v>#REF!</v>
      </c>
      <c r="O25" s="147" t="e">
        <f t="shared" si="7"/>
        <v>#REF!</v>
      </c>
      <c r="P25" s="147" t="e">
        <f t="shared" si="7"/>
        <v>#REF!</v>
      </c>
      <c r="Q25" s="148" t="e">
        <f t="shared" si="7"/>
        <v>#REF!</v>
      </c>
      <c r="R25" s="149">
        <f>COUNTIF(F25:Q25,"&gt;0")</f>
        <v>0</v>
      </c>
      <c r="S25" s="150" t="e">
        <f t="shared" ref="S25:S46" si="8">SUM(F25:Q25)</f>
        <v>#REF!</v>
      </c>
      <c r="T25" s="151" t="e">
        <f t="shared" ref="T25:T46" si="9">IF($S$51=0,0,(S25/$S$51))</f>
        <v>#REF!</v>
      </c>
    </row>
    <row r="26" spans="1:23" x14ac:dyDescent="0.2">
      <c r="A26" s="67"/>
      <c r="B26" s="143" t="s">
        <v>281</v>
      </c>
      <c r="C26" s="152"/>
      <c r="D26" s="145" t="s">
        <v>282</v>
      </c>
      <c r="E26" s="146" t="s">
        <v>280</v>
      </c>
      <c r="F26" s="147" t="e">
        <f>((F9/100)*$S$9)*T3</f>
        <v>#REF!</v>
      </c>
      <c r="G26" s="147" t="e">
        <f t="shared" ref="G26:Q26" si="10">((G9/100)*$S$9)*$T$3</f>
        <v>#REF!</v>
      </c>
      <c r="H26" s="147" t="e">
        <f t="shared" si="10"/>
        <v>#REF!</v>
      </c>
      <c r="I26" s="147" t="e">
        <f t="shared" si="10"/>
        <v>#REF!</v>
      </c>
      <c r="J26" s="147" t="e">
        <f t="shared" si="10"/>
        <v>#REF!</v>
      </c>
      <c r="K26" s="147" t="e">
        <f t="shared" si="10"/>
        <v>#REF!</v>
      </c>
      <c r="L26" s="147" t="e">
        <f t="shared" si="10"/>
        <v>#REF!</v>
      </c>
      <c r="M26" s="147" t="e">
        <f t="shared" si="10"/>
        <v>#REF!</v>
      </c>
      <c r="N26" s="147" t="e">
        <f t="shared" si="10"/>
        <v>#REF!</v>
      </c>
      <c r="O26" s="147" t="e">
        <f t="shared" si="10"/>
        <v>#REF!</v>
      </c>
      <c r="P26" s="147" t="e">
        <f t="shared" si="10"/>
        <v>#REF!</v>
      </c>
      <c r="Q26" s="148" t="e">
        <f t="shared" si="10"/>
        <v>#REF!</v>
      </c>
      <c r="R26" s="153">
        <f t="shared" ref="R26:R46" si="11">COUNTIF(F26:Q26,"&gt;0")</f>
        <v>0</v>
      </c>
      <c r="S26" s="150" t="e">
        <f t="shared" si="8"/>
        <v>#REF!</v>
      </c>
      <c r="T26" s="151" t="e">
        <f t="shared" si="9"/>
        <v>#REF!</v>
      </c>
      <c r="U26" s="154"/>
    </row>
    <row r="27" spans="1:23" x14ac:dyDescent="0.2">
      <c r="A27" s="67"/>
      <c r="B27" s="143" t="s">
        <v>283</v>
      </c>
      <c r="C27" s="155" t="s">
        <v>154</v>
      </c>
      <c r="D27" s="146" t="s">
        <v>316</v>
      </c>
      <c r="E27" s="146" t="s">
        <v>280</v>
      </c>
      <c r="F27" s="147" t="e">
        <f t="shared" ref="F27:Q27" si="12">((F10/100)*$S$10)*$T$2</f>
        <v>#REF!</v>
      </c>
      <c r="G27" s="147" t="e">
        <f t="shared" si="12"/>
        <v>#REF!</v>
      </c>
      <c r="H27" s="147" t="e">
        <f t="shared" si="12"/>
        <v>#REF!</v>
      </c>
      <c r="I27" s="147" t="e">
        <f t="shared" si="12"/>
        <v>#REF!</v>
      </c>
      <c r="J27" s="147" t="e">
        <f t="shared" si="12"/>
        <v>#REF!</v>
      </c>
      <c r="K27" s="147" t="e">
        <f t="shared" si="12"/>
        <v>#REF!</v>
      </c>
      <c r="L27" s="147" t="e">
        <f t="shared" si="12"/>
        <v>#REF!</v>
      </c>
      <c r="M27" s="147" t="e">
        <f t="shared" si="12"/>
        <v>#REF!</v>
      </c>
      <c r="N27" s="147" t="e">
        <f t="shared" si="12"/>
        <v>#REF!</v>
      </c>
      <c r="O27" s="147" t="e">
        <f t="shared" si="12"/>
        <v>#REF!</v>
      </c>
      <c r="P27" s="147" t="e">
        <f t="shared" si="12"/>
        <v>#REF!</v>
      </c>
      <c r="Q27" s="148" t="e">
        <f t="shared" si="12"/>
        <v>#REF!</v>
      </c>
      <c r="R27" s="153">
        <f t="shared" si="11"/>
        <v>0</v>
      </c>
      <c r="S27" s="150" t="e">
        <f t="shared" si="8"/>
        <v>#REF!</v>
      </c>
      <c r="T27" s="151" t="e">
        <f t="shared" si="9"/>
        <v>#REF!</v>
      </c>
    </row>
    <row r="28" spans="1:23" x14ac:dyDescent="0.2">
      <c r="A28" s="67"/>
      <c r="B28" s="143" t="s">
        <v>284</v>
      </c>
      <c r="C28" s="156"/>
      <c r="D28" s="146" t="s">
        <v>282</v>
      </c>
      <c r="E28" s="146" t="s">
        <v>280</v>
      </c>
      <c r="F28" s="147" t="e">
        <f t="shared" ref="F28:Q28" si="13">((F10/100)*$S$10)*$T$3</f>
        <v>#REF!</v>
      </c>
      <c r="G28" s="147" t="e">
        <f t="shared" si="13"/>
        <v>#REF!</v>
      </c>
      <c r="H28" s="147" t="e">
        <f t="shared" si="13"/>
        <v>#REF!</v>
      </c>
      <c r="I28" s="147" t="e">
        <f t="shared" si="13"/>
        <v>#REF!</v>
      </c>
      <c r="J28" s="147" t="e">
        <f t="shared" si="13"/>
        <v>#REF!</v>
      </c>
      <c r="K28" s="147" t="e">
        <f t="shared" si="13"/>
        <v>#REF!</v>
      </c>
      <c r="L28" s="147" t="e">
        <f t="shared" si="13"/>
        <v>#REF!</v>
      </c>
      <c r="M28" s="147" t="e">
        <f t="shared" si="13"/>
        <v>#REF!</v>
      </c>
      <c r="N28" s="147" t="e">
        <f t="shared" si="13"/>
        <v>#REF!</v>
      </c>
      <c r="O28" s="147" t="e">
        <f t="shared" si="13"/>
        <v>#REF!</v>
      </c>
      <c r="P28" s="147" t="e">
        <f t="shared" si="13"/>
        <v>#REF!</v>
      </c>
      <c r="Q28" s="148" t="e">
        <f t="shared" si="13"/>
        <v>#REF!</v>
      </c>
      <c r="R28" s="153">
        <f t="shared" si="11"/>
        <v>0</v>
      </c>
      <c r="S28" s="150" t="e">
        <f t="shared" si="8"/>
        <v>#REF!</v>
      </c>
      <c r="T28" s="151" t="e">
        <f t="shared" si="9"/>
        <v>#REF!</v>
      </c>
      <c r="U28" s="154"/>
    </row>
    <row r="29" spans="1:23" x14ac:dyDescent="0.2">
      <c r="A29" s="67"/>
      <c r="B29" s="143" t="s">
        <v>285</v>
      </c>
      <c r="C29" s="155" t="s">
        <v>159</v>
      </c>
      <c r="D29" s="146" t="s">
        <v>316</v>
      </c>
      <c r="E29" s="146" t="s">
        <v>280</v>
      </c>
      <c r="F29" s="147" t="e">
        <f t="shared" ref="F29:Q29" si="14">((F11/100)*$S$11)*$T$2</f>
        <v>#REF!</v>
      </c>
      <c r="G29" s="147" t="e">
        <f t="shared" si="14"/>
        <v>#REF!</v>
      </c>
      <c r="H29" s="147" t="e">
        <f t="shared" si="14"/>
        <v>#REF!</v>
      </c>
      <c r="I29" s="147" t="e">
        <f t="shared" si="14"/>
        <v>#REF!</v>
      </c>
      <c r="J29" s="147" t="e">
        <f t="shared" si="14"/>
        <v>#REF!</v>
      </c>
      <c r="K29" s="147" t="e">
        <f t="shared" si="14"/>
        <v>#REF!</v>
      </c>
      <c r="L29" s="147" t="e">
        <f t="shared" si="14"/>
        <v>#REF!</v>
      </c>
      <c r="M29" s="147" t="e">
        <f t="shared" si="14"/>
        <v>#REF!</v>
      </c>
      <c r="N29" s="147" t="e">
        <f t="shared" si="14"/>
        <v>#REF!</v>
      </c>
      <c r="O29" s="147" t="e">
        <f t="shared" si="14"/>
        <v>#REF!</v>
      </c>
      <c r="P29" s="147" t="e">
        <f t="shared" si="14"/>
        <v>#REF!</v>
      </c>
      <c r="Q29" s="148" t="e">
        <f t="shared" si="14"/>
        <v>#REF!</v>
      </c>
      <c r="R29" s="153">
        <f t="shared" si="11"/>
        <v>0</v>
      </c>
      <c r="S29" s="150" t="e">
        <f t="shared" si="8"/>
        <v>#REF!</v>
      </c>
      <c r="T29" s="151" t="e">
        <f t="shared" si="9"/>
        <v>#REF!</v>
      </c>
    </row>
    <row r="30" spans="1:23" x14ac:dyDescent="0.2">
      <c r="A30" s="67"/>
      <c r="B30" s="143" t="s">
        <v>286</v>
      </c>
      <c r="C30" s="156"/>
      <c r="D30" s="146" t="s">
        <v>282</v>
      </c>
      <c r="E30" s="146" t="s">
        <v>280</v>
      </c>
      <c r="F30" s="147" t="e">
        <f t="shared" ref="F30:Q30" si="15">((F11/100)*$S$11)*$T$3</f>
        <v>#REF!</v>
      </c>
      <c r="G30" s="147" t="e">
        <f t="shared" si="15"/>
        <v>#REF!</v>
      </c>
      <c r="H30" s="147" t="e">
        <f t="shared" si="15"/>
        <v>#REF!</v>
      </c>
      <c r="I30" s="147" t="e">
        <f t="shared" si="15"/>
        <v>#REF!</v>
      </c>
      <c r="J30" s="147" t="e">
        <f t="shared" si="15"/>
        <v>#REF!</v>
      </c>
      <c r="K30" s="147" t="e">
        <f t="shared" si="15"/>
        <v>#REF!</v>
      </c>
      <c r="L30" s="147" t="e">
        <f t="shared" si="15"/>
        <v>#REF!</v>
      </c>
      <c r="M30" s="147" t="e">
        <f t="shared" si="15"/>
        <v>#REF!</v>
      </c>
      <c r="N30" s="147" t="e">
        <f t="shared" si="15"/>
        <v>#REF!</v>
      </c>
      <c r="O30" s="147" t="e">
        <f t="shared" si="15"/>
        <v>#REF!</v>
      </c>
      <c r="P30" s="147" t="e">
        <f t="shared" si="15"/>
        <v>#REF!</v>
      </c>
      <c r="Q30" s="148" t="e">
        <f t="shared" si="15"/>
        <v>#REF!</v>
      </c>
      <c r="R30" s="153">
        <f t="shared" si="11"/>
        <v>0</v>
      </c>
      <c r="S30" s="150" t="e">
        <f t="shared" si="8"/>
        <v>#REF!</v>
      </c>
      <c r="T30" s="151" t="e">
        <f t="shared" si="9"/>
        <v>#REF!</v>
      </c>
      <c r="U30" s="154"/>
    </row>
    <row r="31" spans="1:23" x14ac:dyDescent="0.2">
      <c r="A31" s="67"/>
      <c r="B31" s="143" t="s">
        <v>287</v>
      </c>
      <c r="C31" s="155" t="s">
        <v>155</v>
      </c>
      <c r="D31" s="146" t="s">
        <v>316</v>
      </c>
      <c r="E31" s="146" t="s">
        <v>280</v>
      </c>
      <c r="F31" s="147" t="e">
        <f>((F12/100)*$S$12)*T2</f>
        <v>#REF!</v>
      </c>
      <c r="G31" s="147" t="e">
        <f t="shared" ref="G31:Q31" si="16">((G12/100)*$S$12)*$T$2</f>
        <v>#REF!</v>
      </c>
      <c r="H31" s="147" t="e">
        <f t="shared" si="16"/>
        <v>#REF!</v>
      </c>
      <c r="I31" s="147" t="e">
        <f t="shared" si="16"/>
        <v>#REF!</v>
      </c>
      <c r="J31" s="147" t="e">
        <f t="shared" si="16"/>
        <v>#REF!</v>
      </c>
      <c r="K31" s="147" t="e">
        <f t="shared" si="16"/>
        <v>#REF!</v>
      </c>
      <c r="L31" s="147" t="e">
        <f t="shared" si="16"/>
        <v>#REF!</v>
      </c>
      <c r="M31" s="147" t="e">
        <f t="shared" si="16"/>
        <v>#REF!</v>
      </c>
      <c r="N31" s="147" t="e">
        <f t="shared" si="16"/>
        <v>#REF!</v>
      </c>
      <c r="O31" s="147" t="e">
        <f t="shared" si="16"/>
        <v>#REF!</v>
      </c>
      <c r="P31" s="147" t="e">
        <f t="shared" si="16"/>
        <v>#REF!</v>
      </c>
      <c r="Q31" s="148" t="e">
        <f t="shared" si="16"/>
        <v>#REF!</v>
      </c>
      <c r="R31" s="153">
        <f t="shared" si="11"/>
        <v>0</v>
      </c>
      <c r="S31" s="150" t="e">
        <f t="shared" si="8"/>
        <v>#REF!</v>
      </c>
      <c r="T31" s="151" t="e">
        <f t="shared" si="9"/>
        <v>#REF!</v>
      </c>
    </row>
    <row r="32" spans="1:23" x14ac:dyDescent="0.2">
      <c r="A32" s="67"/>
      <c r="B32" s="143" t="s">
        <v>288</v>
      </c>
      <c r="C32" s="156"/>
      <c r="D32" s="146" t="s">
        <v>282</v>
      </c>
      <c r="E32" s="146" t="s">
        <v>280</v>
      </c>
      <c r="F32" s="147" t="e">
        <f t="shared" ref="F32:Q32" si="17">((F12/100)*$S$12)*$T$3</f>
        <v>#REF!</v>
      </c>
      <c r="G32" s="147" t="e">
        <f t="shared" si="17"/>
        <v>#REF!</v>
      </c>
      <c r="H32" s="147" t="e">
        <f t="shared" si="17"/>
        <v>#REF!</v>
      </c>
      <c r="I32" s="147" t="e">
        <f t="shared" si="17"/>
        <v>#REF!</v>
      </c>
      <c r="J32" s="147" t="e">
        <f t="shared" si="17"/>
        <v>#REF!</v>
      </c>
      <c r="K32" s="147" t="e">
        <f t="shared" si="17"/>
        <v>#REF!</v>
      </c>
      <c r="L32" s="147" t="e">
        <f t="shared" si="17"/>
        <v>#REF!</v>
      </c>
      <c r="M32" s="147" t="e">
        <f t="shared" si="17"/>
        <v>#REF!</v>
      </c>
      <c r="N32" s="147" t="e">
        <f t="shared" si="17"/>
        <v>#REF!</v>
      </c>
      <c r="O32" s="147" t="e">
        <f t="shared" si="17"/>
        <v>#REF!</v>
      </c>
      <c r="P32" s="147" t="e">
        <f t="shared" si="17"/>
        <v>#REF!</v>
      </c>
      <c r="Q32" s="148" t="e">
        <f t="shared" si="17"/>
        <v>#REF!</v>
      </c>
      <c r="R32" s="153">
        <f t="shared" si="11"/>
        <v>0</v>
      </c>
      <c r="S32" s="150" t="e">
        <f t="shared" si="8"/>
        <v>#REF!</v>
      </c>
      <c r="T32" s="151" t="e">
        <f t="shared" si="9"/>
        <v>#REF!</v>
      </c>
      <c r="U32" s="154"/>
    </row>
    <row r="33" spans="1:21" x14ac:dyDescent="0.2">
      <c r="A33" s="67"/>
      <c r="B33" s="143" t="s">
        <v>289</v>
      </c>
      <c r="C33" s="155" t="s">
        <v>156</v>
      </c>
      <c r="D33" s="146" t="s">
        <v>316</v>
      </c>
      <c r="E33" s="146" t="s">
        <v>280</v>
      </c>
      <c r="F33" s="147" t="e">
        <f t="shared" ref="F33:Q33" si="18">((F13/100)*$S$13)*$T$2</f>
        <v>#REF!</v>
      </c>
      <c r="G33" s="147" t="e">
        <f t="shared" si="18"/>
        <v>#REF!</v>
      </c>
      <c r="H33" s="147" t="e">
        <f t="shared" si="18"/>
        <v>#REF!</v>
      </c>
      <c r="I33" s="147" t="e">
        <f t="shared" si="18"/>
        <v>#REF!</v>
      </c>
      <c r="J33" s="147" t="e">
        <f t="shared" si="18"/>
        <v>#REF!</v>
      </c>
      <c r="K33" s="147" t="e">
        <f t="shared" si="18"/>
        <v>#REF!</v>
      </c>
      <c r="L33" s="147" t="e">
        <f t="shared" si="18"/>
        <v>#REF!</v>
      </c>
      <c r="M33" s="147" t="e">
        <f t="shared" si="18"/>
        <v>#REF!</v>
      </c>
      <c r="N33" s="147" t="e">
        <f t="shared" si="18"/>
        <v>#REF!</v>
      </c>
      <c r="O33" s="147" t="e">
        <f t="shared" si="18"/>
        <v>#REF!</v>
      </c>
      <c r="P33" s="147" t="e">
        <f t="shared" si="18"/>
        <v>#REF!</v>
      </c>
      <c r="Q33" s="148" t="e">
        <f t="shared" si="18"/>
        <v>#REF!</v>
      </c>
      <c r="R33" s="153">
        <f t="shared" si="11"/>
        <v>0</v>
      </c>
      <c r="S33" s="150" t="e">
        <f t="shared" si="8"/>
        <v>#REF!</v>
      </c>
      <c r="T33" s="151" t="e">
        <f t="shared" si="9"/>
        <v>#REF!</v>
      </c>
    </row>
    <row r="34" spans="1:21" x14ac:dyDescent="0.2">
      <c r="A34" s="67"/>
      <c r="B34" s="143" t="s">
        <v>290</v>
      </c>
      <c r="C34" s="156"/>
      <c r="D34" s="146" t="s">
        <v>282</v>
      </c>
      <c r="E34" s="146" t="s">
        <v>280</v>
      </c>
      <c r="F34" s="147" t="e">
        <f t="shared" ref="F34:Q34" si="19">((F13/100)*$S$13)*$T$3</f>
        <v>#REF!</v>
      </c>
      <c r="G34" s="147" t="e">
        <f t="shared" si="19"/>
        <v>#REF!</v>
      </c>
      <c r="H34" s="147" t="e">
        <f t="shared" si="19"/>
        <v>#REF!</v>
      </c>
      <c r="I34" s="147" t="e">
        <f t="shared" si="19"/>
        <v>#REF!</v>
      </c>
      <c r="J34" s="147" t="e">
        <f t="shared" si="19"/>
        <v>#REF!</v>
      </c>
      <c r="K34" s="147" t="e">
        <f t="shared" si="19"/>
        <v>#REF!</v>
      </c>
      <c r="L34" s="147" t="e">
        <f t="shared" si="19"/>
        <v>#REF!</v>
      </c>
      <c r="M34" s="147" t="e">
        <f t="shared" si="19"/>
        <v>#REF!</v>
      </c>
      <c r="N34" s="147" t="e">
        <f t="shared" si="19"/>
        <v>#REF!</v>
      </c>
      <c r="O34" s="147" t="e">
        <f t="shared" si="19"/>
        <v>#REF!</v>
      </c>
      <c r="P34" s="147" t="e">
        <f t="shared" si="19"/>
        <v>#REF!</v>
      </c>
      <c r="Q34" s="148" t="e">
        <f t="shared" si="19"/>
        <v>#REF!</v>
      </c>
      <c r="R34" s="153">
        <f t="shared" si="11"/>
        <v>0</v>
      </c>
      <c r="S34" s="150" t="e">
        <f t="shared" si="8"/>
        <v>#REF!</v>
      </c>
      <c r="T34" s="151" t="e">
        <f t="shared" si="9"/>
        <v>#REF!</v>
      </c>
      <c r="U34" s="154"/>
    </row>
    <row r="35" spans="1:21" x14ac:dyDescent="0.2">
      <c r="A35" s="67"/>
      <c r="B35" s="143" t="s">
        <v>291</v>
      </c>
      <c r="C35" s="155" t="s">
        <v>201</v>
      </c>
      <c r="D35" s="146" t="s">
        <v>316</v>
      </c>
      <c r="E35" s="146" t="s">
        <v>280</v>
      </c>
      <c r="F35" s="147" t="e">
        <f t="shared" ref="F35:Q35" si="20">((F14/100)*$S$14)*$T$2</f>
        <v>#REF!</v>
      </c>
      <c r="G35" s="147" t="e">
        <f t="shared" si="20"/>
        <v>#REF!</v>
      </c>
      <c r="H35" s="147" t="e">
        <f t="shared" si="20"/>
        <v>#REF!</v>
      </c>
      <c r="I35" s="147" t="e">
        <f t="shared" si="20"/>
        <v>#REF!</v>
      </c>
      <c r="J35" s="147" t="e">
        <f t="shared" si="20"/>
        <v>#REF!</v>
      </c>
      <c r="K35" s="147" t="e">
        <f t="shared" si="20"/>
        <v>#REF!</v>
      </c>
      <c r="L35" s="147" t="e">
        <f t="shared" si="20"/>
        <v>#REF!</v>
      </c>
      <c r="M35" s="147" t="e">
        <f t="shared" si="20"/>
        <v>#REF!</v>
      </c>
      <c r="N35" s="147" t="e">
        <f t="shared" si="20"/>
        <v>#REF!</v>
      </c>
      <c r="O35" s="147" t="e">
        <f t="shared" si="20"/>
        <v>#REF!</v>
      </c>
      <c r="P35" s="147" t="e">
        <f t="shared" si="20"/>
        <v>#REF!</v>
      </c>
      <c r="Q35" s="148" t="e">
        <f t="shared" si="20"/>
        <v>#REF!</v>
      </c>
      <c r="R35" s="153">
        <f t="shared" si="11"/>
        <v>0</v>
      </c>
      <c r="S35" s="150" t="e">
        <f t="shared" si="8"/>
        <v>#REF!</v>
      </c>
      <c r="T35" s="151" t="e">
        <f t="shared" si="9"/>
        <v>#REF!</v>
      </c>
    </row>
    <row r="36" spans="1:21" x14ac:dyDescent="0.2">
      <c r="A36" s="67"/>
      <c r="B36" s="143" t="s">
        <v>292</v>
      </c>
      <c r="C36" s="156"/>
      <c r="D36" s="146" t="s">
        <v>282</v>
      </c>
      <c r="E36" s="146" t="s">
        <v>280</v>
      </c>
      <c r="F36" s="147" t="e">
        <f t="shared" ref="F36:Q36" si="21">((F14/100)*$S$14)*$T$3</f>
        <v>#REF!</v>
      </c>
      <c r="G36" s="147" t="e">
        <f t="shared" si="21"/>
        <v>#REF!</v>
      </c>
      <c r="H36" s="147" t="e">
        <f t="shared" si="21"/>
        <v>#REF!</v>
      </c>
      <c r="I36" s="147" t="e">
        <f t="shared" si="21"/>
        <v>#REF!</v>
      </c>
      <c r="J36" s="147" t="e">
        <f t="shared" si="21"/>
        <v>#REF!</v>
      </c>
      <c r="K36" s="147" t="e">
        <f t="shared" si="21"/>
        <v>#REF!</v>
      </c>
      <c r="L36" s="147" t="e">
        <f t="shared" si="21"/>
        <v>#REF!</v>
      </c>
      <c r="M36" s="147" t="e">
        <f t="shared" si="21"/>
        <v>#REF!</v>
      </c>
      <c r="N36" s="147" t="e">
        <f t="shared" si="21"/>
        <v>#REF!</v>
      </c>
      <c r="O36" s="147" t="e">
        <f t="shared" si="21"/>
        <v>#REF!</v>
      </c>
      <c r="P36" s="147" t="e">
        <f t="shared" si="21"/>
        <v>#REF!</v>
      </c>
      <c r="Q36" s="148" t="e">
        <f t="shared" si="21"/>
        <v>#REF!</v>
      </c>
      <c r="R36" s="153">
        <f t="shared" si="11"/>
        <v>0</v>
      </c>
      <c r="S36" s="150" t="e">
        <f t="shared" si="8"/>
        <v>#REF!</v>
      </c>
      <c r="T36" s="151" t="e">
        <f t="shared" si="9"/>
        <v>#REF!</v>
      </c>
      <c r="U36" s="154"/>
    </row>
    <row r="37" spans="1:21" x14ac:dyDescent="0.2">
      <c r="A37" s="67"/>
      <c r="B37" s="143" t="s">
        <v>293</v>
      </c>
      <c r="C37" s="155" t="s">
        <v>161</v>
      </c>
      <c r="D37" s="146" t="s">
        <v>316</v>
      </c>
      <c r="E37" s="146" t="s">
        <v>280</v>
      </c>
      <c r="F37" s="147" t="e">
        <f t="shared" ref="F37:Q37" si="22">((F15/100)*$S$15)*$T$2</f>
        <v>#REF!</v>
      </c>
      <c r="G37" s="147" t="e">
        <f t="shared" si="22"/>
        <v>#REF!</v>
      </c>
      <c r="H37" s="147" t="e">
        <f t="shared" si="22"/>
        <v>#REF!</v>
      </c>
      <c r="I37" s="147" t="e">
        <f t="shared" si="22"/>
        <v>#REF!</v>
      </c>
      <c r="J37" s="147" t="e">
        <f t="shared" si="22"/>
        <v>#REF!</v>
      </c>
      <c r="K37" s="147" t="e">
        <f t="shared" si="22"/>
        <v>#REF!</v>
      </c>
      <c r="L37" s="147" t="e">
        <f t="shared" si="22"/>
        <v>#REF!</v>
      </c>
      <c r="M37" s="147" t="e">
        <f t="shared" si="22"/>
        <v>#REF!</v>
      </c>
      <c r="N37" s="147" t="e">
        <f t="shared" si="22"/>
        <v>#REF!</v>
      </c>
      <c r="O37" s="147" t="e">
        <f t="shared" si="22"/>
        <v>#REF!</v>
      </c>
      <c r="P37" s="147" t="e">
        <f t="shared" si="22"/>
        <v>#REF!</v>
      </c>
      <c r="Q37" s="148" t="e">
        <f t="shared" si="22"/>
        <v>#REF!</v>
      </c>
      <c r="R37" s="153">
        <f t="shared" si="11"/>
        <v>0</v>
      </c>
      <c r="S37" s="150" t="e">
        <f t="shared" si="8"/>
        <v>#REF!</v>
      </c>
      <c r="T37" s="151" t="e">
        <f t="shared" si="9"/>
        <v>#REF!</v>
      </c>
    </row>
    <row r="38" spans="1:21" x14ac:dyDescent="0.2">
      <c r="A38" s="67"/>
      <c r="B38" s="143" t="s">
        <v>294</v>
      </c>
      <c r="C38" s="156"/>
      <c r="D38" s="146" t="s">
        <v>282</v>
      </c>
      <c r="E38" s="146" t="s">
        <v>280</v>
      </c>
      <c r="F38" s="147" t="e">
        <f t="shared" ref="F38:Q38" si="23">((F15/100)*$S$15)*$T$3</f>
        <v>#REF!</v>
      </c>
      <c r="G38" s="147" t="e">
        <f t="shared" si="23"/>
        <v>#REF!</v>
      </c>
      <c r="H38" s="147" t="e">
        <f t="shared" si="23"/>
        <v>#REF!</v>
      </c>
      <c r="I38" s="147" t="e">
        <f t="shared" si="23"/>
        <v>#REF!</v>
      </c>
      <c r="J38" s="147" t="e">
        <f t="shared" si="23"/>
        <v>#REF!</v>
      </c>
      <c r="K38" s="147" t="e">
        <f t="shared" si="23"/>
        <v>#REF!</v>
      </c>
      <c r="L38" s="147" t="e">
        <f t="shared" si="23"/>
        <v>#REF!</v>
      </c>
      <c r="M38" s="147" t="e">
        <f t="shared" si="23"/>
        <v>#REF!</v>
      </c>
      <c r="N38" s="147" t="e">
        <f t="shared" si="23"/>
        <v>#REF!</v>
      </c>
      <c r="O38" s="147" t="e">
        <f t="shared" si="23"/>
        <v>#REF!</v>
      </c>
      <c r="P38" s="147" t="e">
        <f t="shared" si="23"/>
        <v>#REF!</v>
      </c>
      <c r="Q38" s="148" t="e">
        <f t="shared" si="23"/>
        <v>#REF!</v>
      </c>
      <c r="R38" s="153">
        <f t="shared" si="11"/>
        <v>0</v>
      </c>
      <c r="S38" s="150" t="e">
        <f t="shared" si="8"/>
        <v>#REF!</v>
      </c>
      <c r="T38" s="151" t="e">
        <f t="shared" si="9"/>
        <v>#REF!</v>
      </c>
      <c r="U38" s="154"/>
    </row>
    <row r="39" spans="1:21" hidden="1" x14ac:dyDescent="0.2">
      <c r="A39" s="67"/>
      <c r="B39" s="143" t="s">
        <v>295</v>
      </c>
      <c r="C39" s="155" t="s">
        <v>162</v>
      </c>
      <c r="D39" s="146" t="s">
        <v>316</v>
      </c>
      <c r="E39" s="146" t="s">
        <v>280</v>
      </c>
      <c r="F39" s="147" t="e">
        <f t="shared" ref="F39:Q39" si="24">((F16/100)*$S$16)*$T$2</f>
        <v>#N/A</v>
      </c>
      <c r="G39" s="147" t="e">
        <f t="shared" si="24"/>
        <v>#N/A</v>
      </c>
      <c r="H39" s="147" t="e">
        <f t="shared" si="24"/>
        <v>#N/A</v>
      </c>
      <c r="I39" s="147" t="e">
        <f t="shared" si="24"/>
        <v>#N/A</v>
      </c>
      <c r="J39" s="147" t="e">
        <f t="shared" si="24"/>
        <v>#N/A</v>
      </c>
      <c r="K39" s="147" t="e">
        <f t="shared" si="24"/>
        <v>#N/A</v>
      </c>
      <c r="L39" s="147" t="e">
        <f t="shared" si="24"/>
        <v>#N/A</v>
      </c>
      <c r="M39" s="147" t="e">
        <f t="shared" si="24"/>
        <v>#N/A</v>
      </c>
      <c r="N39" s="147" t="e">
        <f t="shared" si="24"/>
        <v>#N/A</v>
      </c>
      <c r="O39" s="147" t="e">
        <f t="shared" si="24"/>
        <v>#N/A</v>
      </c>
      <c r="P39" s="147" t="e">
        <f t="shared" si="24"/>
        <v>#N/A</v>
      </c>
      <c r="Q39" s="148" t="e">
        <f t="shared" si="24"/>
        <v>#N/A</v>
      </c>
      <c r="R39" s="153">
        <f t="shared" si="11"/>
        <v>0</v>
      </c>
      <c r="S39" s="150" t="e">
        <f t="shared" si="8"/>
        <v>#N/A</v>
      </c>
      <c r="T39" s="151" t="e">
        <f t="shared" si="9"/>
        <v>#REF!</v>
      </c>
    </row>
    <row r="40" spans="1:21" hidden="1" x14ac:dyDescent="0.2">
      <c r="A40" s="67"/>
      <c r="B40" s="143" t="s">
        <v>296</v>
      </c>
      <c r="C40" s="156"/>
      <c r="D40" s="146" t="s">
        <v>282</v>
      </c>
      <c r="E40" s="146" t="s">
        <v>280</v>
      </c>
      <c r="F40" s="147" t="e">
        <f t="shared" ref="F40:Q40" si="25">((F16/100)*$S$16)*$T$3</f>
        <v>#N/A</v>
      </c>
      <c r="G40" s="147" t="e">
        <f t="shared" si="25"/>
        <v>#N/A</v>
      </c>
      <c r="H40" s="147" t="e">
        <f t="shared" si="25"/>
        <v>#N/A</v>
      </c>
      <c r="I40" s="147" t="e">
        <f t="shared" si="25"/>
        <v>#N/A</v>
      </c>
      <c r="J40" s="147" t="e">
        <f t="shared" si="25"/>
        <v>#N/A</v>
      </c>
      <c r="K40" s="147" t="e">
        <f t="shared" si="25"/>
        <v>#N/A</v>
      </c>
      <c r="L40" s="147" t="e">
        <f t="shared" si="25"/>
        <v>#N/A</v>
      </c>
      <c r="M40" s="147" t="e">
        <f t="shared" si="25"/>
        <v>#N/A</v>
      </c>
      <c r="N40" s="147" t="e">
        <f t="shared" si="25"/>
        <v>#N/A</v>
      </c>
      <c r="O40" s="147" t="e">
        <f t="shared" si="25"/>
        <v>#N/A</v>
      </c>
      <c r="P40" s="147" t="e">
        <f t="shared" si="25"/>
        <v>#N/A</v>
      </c>
      <c r="Q40" s="148" t="e">
        <f t="shared" si="25"/>
        <v>#N/A</v>
      </c>
      <c r="R40" s="153">
        <f t="shared" si="11"/>
        <v>0</v>
      </c>
      <c r="S40" s="150" t="e">
        <f t="shared" si="8"/>
        <v>#N/A</v>
      </c>
      <c r="T40" s="151" t="e">
        <f t="shared" si="9"/>
        <v>#REF!</v>
      </c>
      <c r="U40" s="154"/>
    </row>
    <row r="41" spans="1:21" hidden="1" x14ac:dyDescent="0.2">
      <c r="A41" s="67"/>
      <c r="B41" s="143" t="s">
        <v>297</v>
      </c>
      <c r="C41" s="155" t="s">
        <v>164</v>
      </c>
      <c r="D41" s="146" t="s">
        <v>316</v>
      </c>
      <c r="E41" s="146" t="s">
        <v>280</v>
      </c>
      <c r="F41" s="147" t="e">
        <f t="shared" ref="F41:Q41" si="26">((F17/100)*$S$17)*$T$2</f>
        <v>#N/A</v>
      </c>
      <c r="G41" s="147" t="e">
        <f t="shared" si="26"/>
        <v>#N/A</v>
      </c>
      <c r="H41" s="147" t="e">
        <f t="shared" si="26"/>
        <v>#N/A</v>
      </c>
      <c r="I41" s="147" t="e">
        <f t="shared" si="26"/>
        <v>#N/A</v>
      </c>
      <c r="J41" s="147" t="e">
        <f t="shared" si="26"/>
        <v>#N/A</v>
      </c>
      <c r="K41" s="147" t="e">
        <f t="shared" si="26"/>
        <v>#N/A</v>
      </c>
      <c r="L41" s="147" t="e">
        <f t="shared" si="26"/>
        <v>#N/A</v>
      </c>
      <c r="M41" s="147" t="e">
        <f t="shared" si="26"/>
        <v>#N/A</v>
      </c>
      <c r="N41" s="147" t="e">
        <f t="shared" si="26"/>
        <v>#N/A</v>
      </c>
      <c r="O41" s="147" t="e">
        <f t="shared" si="26"/>
        <v>#N/A</v>
      </c>
      <c r="P41" s="147" t="e">
        <f t="shared" si="26"/>
        <v>#N/A</v>
      </c>
      <c r="Q41" s="148" t="e">
        <f t="shared" si="26"/>
        <v>#N/A</v>
      </c>
      <c r="R41" s="153">
        <f t="shared" si="11"/>
        <v>0</v>
      </c>
      <c r="S41" s="150" t="e">
        <f t="shared" si="8"/>
        <v>#N/A</v>
      </c>
      <c r="T41" s="151" t="e">
        <f t="shared" si="9"/>
        <v>#REF!</v>
      </c>
    </row>
    <row r="42" spans="1:21" hidden="1" x14ac:dyDescent="0.2">
      <c r="A42" s="67"/>
      <c r="B42" s="143" t="s">
        <v>298</v>
      </c>
      <c r="C42" s="156"/>
      <c r="D42" s="146" t="s">
        <v>282</v>
      </c>
      <c r="E42" s="146" t="s">
        <v>280</v>
      </c>
      <c r="F42" s="147" t="e">
        <f t="shared" ref="F42:Q42" si="27">((F17/100)*$S$17)*$T$3</f>
        <v>#N/A</v>
      </c>
      <c r="G42" s="147" t="e">
        <f t="shared" si="27"/>
        <v>#N/A</v>
      </c>
      <c r="H42" s="147" t="e">
        <f t="shared" si="27"/>
        <v>#N/A</v>
      </c>
      <c r="I42" s="147" t="e">
        <f t="shared" si="27"/>
        <v>#N/A</v>
      </c>
      <c r="J42" s="147" t="e">
        <f t="shared" si="27"/>
        <v>#N/A</v>
      </c>
      <c r="K42" s="147" t="e">
        <f t="shared" si="27"/>
        <v>#N/A</v>
      </c>
      <c r="L42" s="147" t="e">
        <f t="shared" si="27"/>
        <v>#N/A</v>
      </c>
      <c r="M42" s="147" t="e">
        <f t="shared" si="27"/>
        <v>#N/A</v>
      </c>
      <c r="N42" s="147" t="e">
        <f t="shared" si="27"/>
        <v>#N/A</v>
      </c>
      <c r="O42" s="147" t="e">
        <f t="shared" si="27"/>
        <v>#N/A</v>
      </c>
      <c r="P42" s="147" t="e">
        <f t="shared" si="27"/>
        <v>#N/A</v>
      </c>
      <c r="Q42" s="148" t="e">
        <f t="shared" si="27"/>
        <v>#N/A</v>
      </c>
      <c r="R42" s="153">
        <f t="shared" si="11"/>
        <v>0</v>
      </c>
      <c r="S42" s="150" t="e">
        <f t="shared" si="8"/>
        <v>#N/A</v>
      </c>
      <c r="T42" s="151" t="e">
        <f t="shared" si="9"/>
        <v>#REF!</v>
      </c>
      <c r="U42" s="154"/>
    </row>
    <row r="43" spans="1:21" x14ac:dyDescent="0.2">
      <c r="A43" s="67"/>
      <c r="B43" s="143" t="s">
        <v>299</v>
      </c>
      <c r="C43" s="155" t="s">
        <v>157</v>
      </c>
      <c r="D43" s="146" t="s">
        <v>316</v>
      </c>
      <c r="E43" s="146" t="s">
        <v>280</v>
      </c>
      <c r="F43" s="147" t="e">
        <f t="shared" ref="F43:Q43" si="28">((F18/100)*$S$18)*$T$2</f>
        <v>#REF!</v>
      </c>
      <c r="G43" s="147" t="e">
        <f t="shared" si="28"/>
        <v>#REF!</v>
      </c>
      <c r="H43" s="147" t="e">
        <f t="shared" si="28"/>
        <v>#REF!</v>
      </c>
      <c r="I43" s="147" t="e">
        <f t="shared" si="28"/>
        <v>#REF!</v>
      </c>
      <c r="J43" s="147" t="e">
        <f t="shared" si="28"/>
        <v>#REF!</v>
      </c>
      <c r="K43" s="147" t="e">
        <f t="shared" si="28"/>
        <v>#REF!</v>
      </c>
      <c r="L43" s="147" t="e">
        <f t="shared" si="28"/>
        <v>#REF!</v>
      </c>
      <c r="M43" s="147" t="e">
        <f t="shared" si="28"/>
        <v>#REF!</v>
      </c>
      <c r="N43" s="147" t="e">
        <f t="shared" si="28"/>
        <v>#REF!</v>
      </c>
      <c r="O43" s="147" t="e">
        <f t="shared" si="28"/>
        <v>#REF!</v>
      </c>
      <c r="P43" s="147" t="e">
        <f t="shared" si="28"/>
        <v>#REF!</v>
      </c>
      <c r="Q43" s="148" t="e">
        <f t="shared" si="28"/>
        <v>#REF!</v>
      </c>
      <c r="R43" s="153">
        <f t="shared" si="11"/>
        <v>0</v>
      </c>
      <c r="S43" s="150" t="e">
        <f t="shared" si="8"/>
        <v>#REF!</v>
      </c>
      <c r="T43" s="151" t="e">
        <f t="shared" si="9"/>
        <v>#REF!</v>
      </c>
    </row>
    <row r="44" spans="1:21" x14ac:dyDescent="0.2">
      <c r="A44" s="67"/>
      <c r="B44" s="143" t="s">
        <v>300</v>
      </c>
      <c r="C44" s="156"/>
      <c r="D44" s="146" t="s">
        <v>282</v>
      </c>
      <c r="E44" s="146" t="s">
        <v>280</v>
      </c>
      <c r="F44" s="147" t="e">
        <f t="shared" ref="F44:Q44" si="29">((F18/100)*$S$18)*$T$3</f>
        <v>#REF!</v>
      </c>
      <c r="G44" s="147" t="e">
        <f t="shared" si="29"/>
        <v>#REF!</v>
      </c>
      <c r="H44" s="147" t="e">
        <f t="shared" si="29"/>
        <v>#REF!</v>
      </c>
      <c r="I44" s="147" t="e">
        <f t="shared" si="29"/>
        <v>#REF!</v>
      </c>
      <c r="J44" s="147" t="e">
        <f t="shared" si="29"/>
        <v>#REF!</v>
      </c>
      <c r="K44" s="147" t="e">
        <f t="shared" si="29"/>
        <v>#REF!</v>
      </c>
      <c r="L44" s="147" t="e">
        <f t="shared" si="29"/>
        <v>#REF!</v>
      </c>
      <c r="M44" s="147" t="e">
        <f t="shared" si="29"/>
        <v>#REF!</v>
      </c>
      <c r="N44" s="147" t="e">
        <f t="shared" si="29"/>
        <v>#REF!</v>
      </c>
      <c r="O44" s="147" t="e">
        <f t="shared" si="29"/>
        <v>#REF!</v>
      </c>
      <c r="P44" s="147" t="e">
        <f t="shared" si="29"/>
        <v>#REF!</v>
      </c>
      <c r="Q44" s="148" t="e">
        <f t="shared" si="29"/>
        <v>#REF!</v>
      </c>
      <c r="R44" s="153">
        <f t="shared" si="11"/>
        <v>0</v>
      </c>
      <c r="S44" s="150" t="e">
        <f t="shared" si="8"/>
        <v>#REF!</v>
      </c>
      <c r="T44" s="151" t="e">
        <f t="shared" si="9"/>
        <v>#REF!</v>
      </c>
      <c r="U44" s="154"/>
    </row>
    <row r="45" spans="1:21" x14ac:dyDescent="0.2">
      <c r="A45" s="67"/>
      <c r="B45" s="143" t="s">
        <v>301</v>
      </c>
      <c r="C45" s="155" t="s">
        <v>189</v>
      </c>
      <c r="D45" s="146" t="s">
        <v>316</v>
      </c>
      <c r="E45" s="146" t="s">
        <v>280</v>
      </c>
      <c r="F45" s="147" t="e">
        <f t="shared" ref="F45:Q45" si="30">((F19/100)*$S$19)*$T$2</f>
        <v>#REF!</v>
      </c>
      <c r="G45" s="147" t="e">
        <f t="shared" si="30"/>
        <v>#REF!</v>
      </c>
      <c r="H45" s="147" t="e">
        <f t="shared" si="30"/>
        <v>#REF!</v>
      </c>
      <c r="I45" s="147" t="e">
        <f t="shared" si="30"/>
        <v>#REF!</v>
      </c>
      <c r="J45" s="147" t="e">
        <f t="shared" si="30"/>
        <v>#REF!</v>
      </c>
      <c r="K45" s="147" t="e">
        <f t="shared" si="30"/>
        <v>#REF!</v>
      </c>
      <c r="L45" s="147" t="e">
        <f t="shared" si="30"/>
        <v>#REF!</v>
      </c>
      <c r="M45" s="147" t="e">
        <f t="shared" si="30"/>
        <v>#REF!</v>
      </c>
      <c r="N45" s="147" t="e">
        <f t="shared" si="30"/>
        <v>#REF!</v>
      </c>
      <c r="O45" s="147" t="e">
        <f t="shared" si="30"/>
        <v>#REF!</v>
      </c>
      <c r="P45" s="147" t="e">
        <f t="shared" si="30"/>
        <v>#REF!</v>
      </c>
      <c r="Q45" s="148" t="e">
        <f t="shared" si="30"/>
        <v>#REF!</v>
      </c>
      <c r="R45" s="153">
        <f t="shared" si="11"/>
        <v>0</v>
      </c>
      <c r="S45" s="150" t="e">
        <f t="shared" si="8"/>
        <v>#REF!</v>
      </c>
      <c r="T45" s="151" t="e">
        <f t="shared" si="9"/>
        <v>#REF!</v>
      </c>
    </row>
    <row r="46" spans="1:21" x14ac:dyDescent="0.2">
      <c r="A46" s="67"/>
      <c r="B46" s="143" t="s">
        <v>302</v>
      </c>
      <c r="C46" s="156"/>
      <c r="D46" s="146" t="s">
        <v>282</v>
      </c>
      <c r="E46" s="146" t="s">
        <v>280</v>
      </c>
      <c r="F46" s="147" t="e">
        <f t="shared" ref="F46:Q46" si="31">((F19/100)*$S$19)*$T$3</f>
        <v>#REF!</v>
      </c>
      <c r="G46" s="147" t="e">
        <f t="shared" si="31"/>
        <v>#REF!</v>
      </c>
      <c r="H46" s="147" t="e">
        <f t="shared" si="31"/>
        <v>#REF!</v>
      </c>
      <c r="I46" s="147" t="e">
        <f t="shared" si="31"/>
        <v>#REF!</v>
      </c>
      <c r="J46" s="147" t="e">
        <f t="shared" si="31"/>
        <v>#REF!</v>
      </c>
      <c r="K46" s="147" t="e">
        <f t="shared" si="31"/>
        <v>#REF!</v>
      </c>
      <c r="L46" s="147" t="e">
        <f t="shared" si="31"/>
        <v>#REF!</v>
      </c>
      <c r="M46" s="147" t="e">
        <f t="shared" si="31"/>
        <v>#REF!</v>
      </c>
      <c r="N46" s="147" t="e">
        <f t="shared" si="31"/>
        <v>#REF!</v>
      </c>
      <c r="O46" s="147" t="e">
        <f t="shared" si="31"/>
        <v>#REF!</v>
      </c>
      <c r="P46" s="147" t="e">
        <f t="shared" si="31"/>
        <v>#REF!</v>
      </c>
      <c r="Q46" s="148" t="e">
        <f t="shared" si="31"/>
        <v>#REF!</v>
      </c>
      <c r="R46" s="153">
        <f t="shared" si="11"/>
        <v>0</v>
      </c>
      <c r="S46" s="150" t="e">
        <f t="shared" si="8"/>
        <v>#REF!</v>
      </c>
      <c r="T46" s="151" t="e">
        <f t="shared" si="9"/>
        <v>#REF!</v>
      </c>
      <c r="U46" s="154"/>
    </row>
    <row r="47" spans="1:21" x14ac:dyDescent="0.2">
      <c r="A47" s="67"/>
      <c r="B47" s="157"/>
      <c r="C47" s="158"/>
      <c r="D47" s="158"/>
      <c r="E47" s="158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60"/>
      <c r="R47" s="159"/>
      <c r="S47" s="159"/>
      <c r="T47" s="161"/>
    </row>
    <row r="48" spans="1:21" x14ac:dyDescent="0.2">
      <c r="A48" s="67"/>
      <c r="B48" s="143" t="s">
        <v>303</v>
      </c>
      <c r="C48" s="155" t="s">
        <v>275</v>
      </c>
      <c r="D48" s="152" t="s">
        <v>316</v>
      </c>
      <c r="E48" s="152" t="s">
        <v>280</v>
      </c>
      <c r="F48" s="162" t="e">
        <f t="shared" ref="F48:Q48" si="32">SUMIF($D$25:$D$46,"FINANCIAMENTO",F$25:F$46)</f>
        <v>#REF!</v>
      </c>
      <c r="G48" s="162" t="e">
        <f t="shared" si="32"/>
        <v>#REF!</v>
      </c>
      <c r="H48" s="162" t="e">
        <f t="shared" si="32"/>
        <v>#REF!</v>
      </c>
      <c r="I48" s="162" t="e">
        <f t="shared" si="32"/>
        <v>#REF!</v>
      </c>
      <c r="J48" s="162" t="e">
        <f t="shared" si="32"/>
        <v>#REF!</v>
      </c>
      <c r="K48" s="162" t="e">
        <f t="shared" si="32"/>
        <v>#REF!</v>
      </c>
      <c r="L48" s="162" t="e">
        <f t="shared" si="32"/>
        <v>#REF!</v>
      </c>
      <c r="M48" s="162" t="e">
        <f t="shared" si="32"/>
        <v>#REF!</v>
      </c>
      <c r="N48" s="162" t="e">
        <f t="shared" si="32"/>
        <v>#REF!</v>
      </c>
      <c r="O48" s="162" t="e">
        <f t="shared" si="32"/>
        <v>#REF!</v>
      </c>
      <c r="P48" s="162" t="e">
        <f t="shared" si="32"/>
        <v>#REF!</v>
      </c>
      <c r="Q48" s="163" t="e">
        <f t="shared" si="32"/>
        <v>#REF!</v>
      </c>
      <c r="R48" s="164"/>
      <c r="S48" s="165" t="e">
        <f>SUMIF($D$25:$D$46,"FINANCIAMENTO",S$25:S$46)</f>
        <v>#REF!</v>
      </c>
      <c r="T48" s="166" t="e">
        <f>SUMIF($D$25:$D$46,"FINANCIAMENTO",T$25:T$46)</f>
        <v>#REF!</v>
      </c>
    </row>
    <row r="49" spans="1:20" x14ac:dyDescent="0.2">
      <c r="A49" s="67"/>
      <c r="B49" s="143" t="s">
        <v>304</v>
      </c>
      <c r="C49" s="156"/>
      <c r="D49" s="167" t="s">
        <v>282</v>
      </c>
      <c r="E49" s="167" t="s">
        <v>280</v>
      </c>
      <c r="F49" s="162" t="e">
        <f t="shared" ref="F49:T49" si="33">SUMIF($D$25:$D$46,"CONTRAPARTIDA",F$25:F$46)</f>
        <v>#REF!</v>
      </c>
      <c r="G49" s="162" t="e">
        <f t="shared" si="33"/>
        <v>#REF!</v>
      </c>
      <c r="H49" s="162" t="e">
        <f t="shared" si="33"/>
        <v>#REF!</v>
      </c>
      <c r="I49" s="162" t="e">
        <f t="shared" si="33"/>
        <v>#REF!</v>
      </c>
      <c r="J49" s="162" t="e">
        <f t="shared" si="33"/>
        <v>#REF!</v>
      </c>
      <c r="K49" s="162" t="e">
        <f t="shared" si="33"/>
        <v>#REF!</v>
      </c>
      <c r="L49" s="162" t="e">
        <f t="shared" si="33"/>
        <v>#REF!</v>
      </c>
      <c r="M49" s="162" t="e">
        <f t="shared" si="33"/>
        <v>#REF!</v>
      </c>
      <c r="N49" s="162" t="e">
        <f t="shared" si="33"/>
        <v>#REF!</v>
      </c>
      <c r="O49" s="162" t="e">
        <f t="shared" si="33"/>
        <v>#REF!</v>
      </c>
      <c r="P49" s="162" t="e">
        <f t="shared" si="33"/>
        <v>#REF!</v>
      </c>
      <c r="Q49" s="163" t="e">
        <f t="shared" si="33"/>
        <v>#REF!</v>
      </c>
      <c r="R49" s="168"/>
      <c r="S49" s="165" t="e">
        <f t="shared" si="33"/>
        <v>#REF!</v>
      </c>
      <c r="T49" s="166" t="e">
        <f t="shared" si="33"/>
        <v>#REF!</v>
      </c>
    </row>
    <row r="50" spans="1:20" x14ac:dyDescent="0.2">
      <c r="A50" s="67"/>
      <c r="B50" s="169"/>
      <c r="C50" s="158"/>
      <c r="D50" s="158"/>
      <c r="E50" s="158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60"/>
      <c r="R50" s="159"/>
      <c r="S50" s="170"/>
      <c r="T50" s="171"/>
    </row>
    <row r="51" spans="1:20" ht="15" customHeight="1" thickBot="1" x14ac:dyDescent="0.25">
      <c r="A51" s="67"/>
      <c r="B51" s="172" t="s">
        <v>305</v>
      </c>
      <c r="C51" s="173"/>
      <c r="D51" s="173"/>
      <c r="E51" s="174" t="s">
        <v>280</v>
      </c>
      <c r="F51" s="175" t="e">
        <f t="shared" ref="F51:Q51" si="34">SUM(F48:F49)</f>
        <v>#REF!</v>
      </c>
      <c r="G51" s="175" t="e">
        <f t="shared" si="34"/>
        <v>#REF!</v>
      </c>
      <c r="H51" s="175" t="e">
        <f t="shared" si="34"/>
        <v>#REF!</v>
      </c>
      <c r="I51" s="175" t="e">
        <f t="shared" si="34"/>
        <v>#REF!</v>
      </c>
      <c r="J51" s="175" t="e">
        <f t="shared" si="34"/>
        <v>#REF!</v>
      </c>
      <c r="K51" s="175" t="e">
        <f t="shared" si="34"/>
        <v>#REF!</v>
      </c>
      <c r="L51" s="176" t="e">
        <f t="shared" si="34"/>
        <v>#REF!</v>
      </c>
      <c r="M51" s="176" t="e">
        <f t="shared" si="34"/>
        <v>#REF!</v>
      </c>
      <c r="N51" s="176" t="e">
        <f t="shared" si="34"/>
        <v>#REF!</v>
      </c>
      <c r="O51" s="176" t="e">
        <f t="shared" si="34"/>
        <v>#REF!</v>
      </c>
      <c r="P51" s="176" t="e">
        <f t="shared" si="34"/>
        <v>#REF!</v>
      </c>
      <c r="Q51" s="177" t="e">
        <f t="shared" si="34"/>
        <v>#REF!</v>
      </c>
      <c r="R51" s="178"/>
      <c r="S51" s="179" t="e">
        <f>SUM(F51:Q51)</f>
        <v>#REF!</v>
      </c>
      <c r="T51" s="180" t="e">
        <f>SUM(T48:T49)</f>
        <v>#REF!</v>
      </c>
    </row>
    <row r="52" spans="1:20" ht="15" customHeight="1" thickTop="1" thickBot="1" x14ac:dyDescent="0.25">
      <c r="A52" s="67"/>
      <c r="B52" s="181" t="s">
        <v>306</v>
      </c>
      <c r="C52" s="182"/>
      <c r="D52" s="182"/>
      <c r="E52" s="183" t="s">
        <v>280</v>
      </c>
      <c r="F52" s="184" t="e">
        <f t="shared" ref="F52:Q52" si="35">IF($S$51=0,0,F51/$S$51)</f>
        <v>#REF!</v>
      </c>
      <c r="G52" s="184" t="e">
        <f t="shared" si="35"/>
        <v>#REF!</v>
      </c>
      <c r="H52" s="184" t="e">
        <f t="shared" si="35"/>
        <v>#REF!</v>
      </c>
      <c r="I52" s="184" t="e">
        <f t="shared" si="35"/>
        <v>#REF!</v>
      </c>
      <c r="J52" s="184" t="e">
        <f t="shared" si="35"/>
        <v>#REF!</v>
      </c>
      <c r="K52" s="184" t="e">
        <f t="shared" si="35"/>
        <v>#REF!</v>
      </c>
      <c r="L52" s="184" t="e">
        <f t="shared" si="35"/>
        <v>#REF!</v>
      </c>
      <c r="M52" s="184" t="e">
        <f t="shared" si="35"/>
        <v>#REF!</v>
      </c>
      <c r="N52" s="184" t="e">
        <f t="shared" si="35"/>
        <v>#REF!</v>
      </c>
      <c r="O52" s="184" t="e">
        <f t="shared" si="35"/>
        <v>#REF!</v>
      </c>
      <c r="P52" s="184" t="e">
        <f t="shared" si="35"/>
        <v>#REF!</v>
      </c>
      <c r="Q52" s="185" t="e">
        <f t="shared" si="35"/>
        <v>#REF!</v>
      </c>
      <c r="R52" s="186"/>
      <c r="S52" s="179" t="e">
        <f>S48+S49</f>
        <v>#REF!</v>
      </c>
      <c r="T52" s="187" t="e">
        <f>SUM(F52:Q52)</f>
        <v>#REF!</v>
      </c>
    </row>
    <row r="53" spans="1:20" ht="15" customHeight="1" thickTop="1" thickBot="1" x14ac:dyDescent="0.25">
      <c r="A53" s="67"/>
      <c r="B53" s="188" t="s">
        <v>307</v>
      </c>
      <c r="C53" s="189"/>
      <c r="D53" s="189"/>
      <c r="E53" s="190" t="s">
        <v>280</v>
      </c>
      <c r="F53" s="191" t="e">
        <f>F52</f>
        <v>#REF!</v>
      </c>
      <c r="G53" s="191" t="e">
        <f t="shared" ref="G53:H53" si="36">IF(G51=0,0,F53+G52)</f>
        <v>#REF!</v>
      </c>
      <c r="H53" s="191" t="e">
        <f t="shared" si="36"/>
        <v>#REF!</v>
      </c>
      <c r="I53" s="191" t="e">
        <f>IF(I51=0,0,H53+I52)</f>
        <v>#REF!</v>
      </c>
      <c r="J53" s="191" t="e">
        <f t="shared" ref="J53:Q53" si="37">IF(J51=0,0,I53+J52)</f>
        <v>#REF!</v>
      </c>
      <c r="K53" s="191" t="e">
        <f t="shared" si="37"/>
        <v>#REF!</v>
      </c>
      <c r="L53" s="191" t="e">
        <f t="shared" si="37"/>
        <v>#REF!</v>
      </c>
      <c r="M53" s="191" t="e">
        <f t="shared" si="37"/>
        <v>#REF!</v>
      </c>
      <c r="N53" s="191" t="e">
        <f t="shared" si="37"/>
        <v>#REF!</v>
      </c>
      <c r="O53" s="191" t="e">
        <f t="shared" si="37"/>
        <v>#REF!</v>
      </c>
      <c r="P53" s="191" t="e">
        <f t="shared" si="37"/>
        <v>#REF!</v>
      </c>
      <c r="Q53" s="192" t="e">
        <f t="shared" si="37"/>
        <v>#REF!</v>
      </c>
      <c r="R53" s="193"/>
      <c r="S53" s="194" t="e">
        <f>IF(S51=S52,"OK","CORRIGIR")</f>
        <v>#REF!</v>
      </c>
      <c r="T53" s="195" t="e">
        <f>IF(T51=T52,"OK","CORRIGIR")</f>
        <v>#REF!</v>
      </c>
    </row>
    <row r="54" spans="1:20" ht="15" customHeight="1" x14ac:dyDescent="0.2">
      <c r="A54" s="67"/>
      <c r="B54" s="196" t="s">
        <v>308</v>
      </c>
      <c r="C54" s="197"/>
      <c r="D54" s="198"/>
      <c r="E54" s="199"/>
      <c r="F54" s="197" t="s">
        <v>309</v>
      </c>
      <c r="G54" s="200"/>
      <c r="H54" s="200"/>
      <c r="I54" s="201"/>
      <c r="J54" s="202" t="s">
        <v>310</v>
      </c>
      <c r="K54" s="203"/>
      <c r="L54" s="203"/>
      <c r="M54" s="204"/>
      <c r="N54" s="205" t="s">
        <v>309</v>
      </c>
      <c r="O54" s="206"/>
      <c r="P54" s="207"/>
      <c r="Q54" s="197" t="s">
        <v>311</v>
      </c>
      <c r="R54" s="208"/>
      <c r="S54" s="208"/>
      <c r="T54" s="209"/>
    </row>
    <row r="55" spans="1:20" ht="19.5" customHeight="1" thickBot="1" x14ac:dyDescent="0.25">
      <c r="A55" s="67"/>
      <c r="B55" s="210"/>
      <c r="C55" s="211"/>
      <c r="D55" s="212"/>
      <c r="E55" s="213"/>
      <c r="F55" s="213"/>
      <c r="G55" s="214" t="s">
        <v>312</v>
      </c>
      <c r="H55" s="213"/>
      <c r="I55" s="215"/>
      <c r="J55" s="216"/>
      <c r="K55" s="217"/>
      <c r="L55" s="218"/>
      <c r="M55" s="219"/>
      <c r="N55" s="220"/>
      <c r="O55" s="221" t="s">
        <v>313</v>
      </c>
      <c r="P55" s="222"/>
      <c r="Q55" s="223"/>
      <c r="R55" s="224"/>
      <c r="S55" s="224"/>
      <c r="T55" s="225"/>
    </row>
  </sheetData>
  <pageMargins left="0.78740157480314965" right="0.78740157480314965" top="0.78740157480314965" bottom="0.78740157480314965" header="0.51181102362204722" footer="0.51181102362204722"/>
  <pageSetup paperSize="8" scale="98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3">
    <pageSetUpPr fitToPage="1"/>
  </sheetPr>
  <dimension ref="A1:H70"/>
  <sheetViews>
    <sheetView showGridLines="0" showZeros="0" tabSelected="1" view="pageBreakPreview" zoomScaleNormal="70" zoomScaleSheetLayoutView="100" workbookViewId="0">
      <pane ySplit="6" topLeftCell="A7" activePane="bottomLeft" state="frozen"/>
      <selection pane="bottomLeft" activeCell="C5" sqref="C5"/>
    </sheetView>
  </sheetViews>
  <sheetFormatPr defaultColWidth="21.6640625" defaultRowHeight="11.25" x14ac:dyDescent="0.2"/>
  <cols>
    <col min="1" max="1" width="15" style="494" customWidth="1"/>
    <col min="2" max="2" width="11.5" style="494" customWidth="1"/>
    <col min="3" max="3" width="58.1640625" style="440" customWidth="1"/>
    <col min="4" max="4" width="3.6640625" style="440" bestFit="1" customWidth="1"/>
    <col min="5" max="5" width="12.6640625" style="440" bestFit="1" customWidth="1"/>
    <col min="6" max="6" width="10.5" style="440" bestFit="1" customWidth="1"/>
    <col min="7" max="7" width="15.5" style="440" bestFit="1" customWidth="1"/>
    <col min="8" max="8" width="13.1640625" style="440" customWidth="1"/>
    <col min="9" max="16384" width="21.6640625" style="440"/>
  </cols>
  <sheetData>
    <row r="1" spans="1:8" s="456" customFormat="1" ht="21" thickBot="1" x14ac:dyDescent="0.25">
      <c r="A1" s="621" t="s">
        <v>81</v>
      </c>
      <c r="B1" s="622"/>
      <c r="C1" s="449"/>
      <c r="D1" s="449"/>
      <c r="E1" s="449"/>
      <c r="F1" s="449"/>
      <c r="G1" s="449"/>
      <c r="H1" s="450"/>
    </row>
    <row r="2" spans="1:8" x14ac:dyDescent="0.2">
      <c r="A2" s="496" t="s">
        <v>84</v>
      </c>
      <c r="B2" s="497"/>
      <c r="C2" s="457" t="s">
        <v>521</v>
      </c>
      <c r="D2" s="458"/>
      <c r="E2" s="458"/>
      <c r="F2" s="458"/>
      <c r="G2" s="459" t="s">
        <v>85</v>
      </c>
      <c r="H2" s="460" t="s">
        <v>523</v>
      </c>
    </row>
    <row r="3" spans="1:8" x14ac:dyDescent="0.2">
      <c r="A3" s="461" t="s">
        <v>86</v>
      </c>
      <c r="B3" s="462"/>
      <c r="C3" s="463" t="s">
        <v>522</v>
      </c>
      <c r="D3" s="464"/>
      <c r="E3" s="464"/>
      <c r="F3" s="464"/>
      <c r="G3" s="465" t="s">
        <v>87</v>
      </c>
      <c r="H3" s="466" t="s">
        <v>170</v>
      </c>
    </row>
    <row r="4" spans="1:8" ht="12" thickBot="1" x14ac:dyDescent="0.25">
      <c r="A4" s="467" t="s">
        <v>171</v>
      </c>
      <c r="B4" s="468"/>
      <c r="C4" s="469" t="s">
        <v>524</v>
      </c>
      <c r="D4" s="470"/>
      <c r="E4" s="470"/>
      <c r="F4" s="470"/>
      <c r="G4" s="470"/>
      <c r="H4" s="471"/>
    </row>
    <row r="5" spans="1:8" ht="12" thickBot="1" x14ac:dyDescent="0.25">
      <c r="A5" s="472" t="s">
        <v>151</v>
      </c>
      <c r="B5" s="416" t="s">
        <v>152</v>
      </c>
      <c r="C5" s="473" t="s">
        <v>79</v>
      </c>
      <c r="D5" s="474" t="s">
        <v>80</v>
      </c>
      <c r="E5" s="417" t="s">
        <v>82</v>
      </c>
      <c r="F5" s="418"/>
      <c r="G5" s="419"/>
      <c r="H5" s="419"/>
    </row>
    <row r="6" spans="1:8" ht="23.25" thickBot="1" x14ac:dyDescent="0.25">
      <c r="A6" s="475" t="s">
        <v>88</v>
      </c>
      <c r="B6" s="420"/>
      <c r="C6" s="476" t="s">
        <v>421</v>
      </c>
      <c r="D6" s="421"/>
      <c r="E6" s="422" t="s">
        <v>0</v>
      </c>
      <c r="F6" s="424" t="s">
        <v>1</v>
      </c>
      <c r="G6" s="423" t="s">
        <v>2</v>
      </c>
      <c r="H6" s="425" t="s">
        <v>83</v>
      </c>
    </row>
    <row r="7" spans="1:8" ht="12" thickBot="1" x14ac:dyDescent="0.25">
      <c r="A7" s="477" t="s">
        <v>170</v>
      </c>
      <c r="B7" s="426"/>
      <c r="C7" s="623" t="s">
        <v>158</v>
      </c>
      <c r="D7" s="448" t="s">
        <v>187</v>
      </c>
      <c r="E7" s="445"/>
      <c r="F7" s="448"/>
      <c r="G7" s="443"/>
      <c r="H7" s="444">
        <v>2106.0500000000002</v>
      </c>
    </row>
    <row r="8" spans="1:8" ht="34.5" thickBot="1" x14ac:dyDescent="0.25">
      <c r="A8" s="451" t="s">
        <v>415</v>
      </c>
      <c r="B8" s="428" t="s">
        <v>381</v>
      </c>
      <c r="C8" s="429" t="s">
        <v>379</v>
      </c>
      <c r="D8" s="437" t="s">
        <v>8</v>
      </c>
      <c r="E8" s="478">
        <v>1</v>
      </c>
      <c r="F8" s="479">
        <v>2106.0500000000002</v>
      </c>
      <c r="G8" s="439">
        <v>2106.0500000000002</v>
      </c>
      <c r="H8" s="438"/>
    </row>
    <row r="9" spans="1:8" ht="12" thickBot="1" x14ac:dyDescent="0.25">
      <c r="A9" s="481" t="s">
        <v>90</v>
      </c>
      <c r="B9" s="430"/>
      <c r="C9" s="624" t="s">
        <v>154</v>
      </c>
      <c r="D9" s="448" t="s">
        <v>187</v>
      </c>
      <c r="E9" s="445">
        <v>0</v>
      </c>
      <c r="F9" s="448">
        <v>0</v>
      </c>
      <c r="G9" s="443">
        <v>0</v>
      </c>
      <c r="H9" s="444">
        <v>2620.94</v>
      </c>
    </row>
    <row r="10" spans="1:8" ht="12" thickBot="1" x14ac:dyDescent="0.25">
      <c r="A10" s="451">
        <v>411000</v>
      </c>
      <c r="B10" s="428" t="s">
        <v>94</v>
      </c>
      <c r="C10" s="429" t="s">
        <v>92</v>
      </c>
      <c r="D10" s="437" t="s">
        <v>3</v>
      </c>
      <c r="E10" s="454">
        <v>220.99</v>
      </c>
      <c r="F10" s="454">
        <v>11.86</v>
      </c>
      <c r="G10" s="439">
        <v>2620.94</v>
      </c>
      <c r="H10" s="438"/>
    </row>
    <row r="11" spans="1:8" ht="12" thickBot="1" x14ac:dyDescent="0.25">
      <c r="A11" s="481" t="s">
        <v>95</v>
      </c>
      <c r="B11" s="430"/>
      <c r="C11" s="624" t="s">
        <v>159</v>
      </c>
      <c r="D11" s="448" t="s">
        <v>187</v>
      </c>
      <c r="E11" s="445">
        <v>0</v>
      </c>
      <c r="F11" s="448">
        <v>0</v>
      </c>
      <c r="G11" s="443">
        <v>0</v>
      </c>
      <c r="H11" s="444">
        <v>56248.33</v>
      </c>
    </row>
    <row r="12" spans="1:8" x14ac:dyDescent="0.2">
      <c r="A12" s="451" t="s">
        <v>382</v>
      </c>
      <c r="B12" s="428" t="s">
        <v>94</v>
      </c>
      <c r="C12" s="429" t="s">
        <v>91</v>
      </c>
      <c r="D12" s="437" t="s">
        <v>5</v>
      </c>
      <c r="E12" s="454">
        <v>1104.94</v>
      </c>
      <c r="F12" s="454">
        <v>5.95</v>
      </c>
      <c r="G12" s="439">
        <v>6574.39</v>
      </c>
      <c r="H12" s="438"/>
    </row>
    <row r="13" spans="1:8" ht="12" thickBot="1" x14ac:dyDescent="0.25">
      <c r="A13" s="451" t="s">
        <v>462</v>
      </c>
      <c r="B13" s="428" t="s">
        <v>94</v>
      </c>
      <c r="C13" s="429" t="s">
        <v>96</v>
      </c>
      <c r="D13" s="437" t="s">
        <v>3</v>
      </c>
      <c r="E13" s="454">
        <v>165.74</v>
      </c>
      <c r="F13" s="454">
        <v>299.70999999999998</v>
      </c>
      <c r="G13" s="439">
        <v>49673.94</v>
      </c>
      <c r="H13" s="438"/>
    </row>
    <row r="14" spans="1:8" ht="12" thickBot="1" x14ac:dyDescent="0.25">
      <c r="A14" s="481" t="s">
        <v>97</v>
      </c>
      <c r="B14" s="430"/>
      <c r="C14" s="624" t="s">
        <v>155</v>
      </c>
      <c r="D14" s="482" t="s">
        <v>187</v>
      </c>
      <c r="E14" s="445">
        <v>0</v>
      </c>
      <c r="F14" s="448">
        <v>0</v>
      </c>
      <c r="G14" s="443">
        <v>0</v>
      </c>
      <c r="H14" s="444">
        <v>90337.57</v>
      </c>
    </row>
    <row r="15" spans="1:8" x14ac:dyDescent="0.2">
      <c r="A15" s="625" t="s">
        <v>463</v>
      </c>
      <c r="B15" s="432" t="s">
        <v>94</v>
      </c>
      <c r="C15" s="435" t="s">
        <v>377</v>
      </c>
      <c r="D15" s="483" t="s">
        <v>5</v>
      </c>
      <c r="E15" s="484"/>
      <c r="F15" s="485">
        <v>0</v>
      </c>
      <c r="G15" s="486">
        <v>0</v>
      </c>
      <c r="H15" s="438"/>
    </row>
    <row r="16" spans="1:8" ht="12" thickBot="1" x14ac:dyDescent="0.25">
      <c r="A16" s="626" t="s">
        <v>464</v>
      </c>
      <c r="B16" s="433" t="s">
        <v>465</v>
      </c>
      <c r="C16" s="487" t="s">
        <v>198</v>
      </c>
      <c r="D16" s="488" t="s">
        <v>7</v>
      </c>
      <c r="E16" s="490"/>
      <c r="F16" s="491">
        <v>0</v>
      </c>
      <c r="G16" s="489">
        <v>0</v>
      </c>
      <c r="H16" s="438"/>
    </row>
    <row r="17" spans="1:8" x14ac:dyDescent="0.2">
      <c r="A17" s="625" t="s">
        <v>466</v>
      </c>
      <c r="B17" s="432" t="s">
        <v>94</v>
      </c>
      <c r="C17" s="435" t="s">
        <v>196</v>
      </c>
      <c r="D17" s="483" t="s">
        <v>5</v>
      </c>
      <c r="E17" s="484">
        <v>1104.94</v>
      </c>
      <c r="F17" s="485">
        <v>0.6</v>
      </c>
      <c r="G17" s="486">
        <v>662.96</v>
      </c>
      <c r="H17" s="438"/>
    </row>
    <row r="18" spans="1:8" ht="12" thickBot="1" x14ac:dyDescent="0.25">
      <c r="A18" s="626" t="s">
        <v>467</v>
      </c>
      <c r="B18" s="433" t="s">
        <v>465</v>
      </c>
      <c r="C18" s="487" t="s">
        <v>199</v>
      </c>
      <c r="D18" s="488" t="s">
        <v>7</v>
      </c>
      <c r="E18" s="490">
        <v>1.22</v>
      </c>
      <c r="F18" s="491">
        <v>5211.93</v>
      </c>
      <c r="G18" s="489">
        <v>6358.55</v>
      </c>
      <c r="H18" s="438"/>
    </row>
    <row r="19" spans="1:8" x14ac:dyDescent="0.2">
      <c r="A19" s="625" t="s">
        <v>468</v>
      </c>
      <c r="B19" s="432" t="s">
        <v>94</v>
      </c>
      <c r="C19" s="435" t="s">
        <v>197</v>
      </c>
      <c r="D19" s="483" t="s">
        <v>5</v>
      </c>
      <c r="E19" s="484">
        <v>1104.94</v>
      </c>
      <c r="F19" s="485">
        <v>0.41</v>
      </c>
      <c r="G19" s="486">
        <v>453.03</v>
      </c>
      <c r="H19" s="438"/>
    </row>
    <row r="20" spans="1:8" ht="12" thickBot="1" x14ac:dyDescent="0.25">
      <c r="A20" s="626" t="s">
        <v>469</v>
      </c>
      <c r="B20" s="433" t="s">
        <v>465</v>
      </c>
      <c r="C20" s="487" t="s">
        <v>317</v>
      </c>
      <c r="D20" s="488" t="s">
        <v>7</v>
      </c>
      <c r="E20" s="490">
        <v>0.55000000000000004</v>
      </c>
      <c r="F20" s="491">
        <v>4800.82</v>
      </c>
      <c r="G20" s="489">
        <v>2640.45</v>
      </c>
      <c r="H20" s="438"/>
    </row>
    <row r="21" spans="1:8" x14ac:dyDescent="0.2">
      <c r="A21" s="452" t="s">
        <v>470</v>
      </c>
      <c r="B21" s="436" t="s">
        <v>94</v>
      </c>
      <c r="C21" s="435" t="s">
        <v>471</v>
      </c>
      <c r="D21" s="483" t="s">
        <v>7</v>
      </c>
      <c r="E21" s="484">
        <v>112.48</v>
      </c>
      <c r="F21" s="485">
        <v>338.19</v>
      </c>
      <c r="G21" s="486">
        <v>38039.61</v>
      </c>
      <c r="H21" s="438"/>
    </row>
    <row r="22" spans="1:8" ht="23.25" thickBot="1" x14ac:dyDescent="0.25">
      <c r="A22" s="492" t="s">
        <v>472</v>
      </c>
      <c r="B22" s="433" t="s">
        <v>465</v>
      </c>
      <c r="C22" s="434" t="s">
        <v>200</v>
      </c>
      <c r="D22" s="488" t="s">
        <v>7</v>
      </c>
      <c r="E22" s="490">
        <v>5.96</v>
      </c>
      <c r="F22" s="628">
        <v>7077.68</v>
      </c>
      <c r="G22" s="489">
        <v>42182.97</v>
      </c>
      <c r="H22" s="438"/>
    </row>
    <row r="23" spans="1:8" ht="12" thickBot="1" x14ac:dyDescent="0.25">
      <c r="A23" s="481" t="s">
        <v>89</v>
      </c>
      <c r="B23" s="430"/>
      <c r="C23" s="624" t="s">
        <v>156</v>
      </c>
      <c r="D23" s="448" t="s">
        <v>187</v>
      </c>
      <c r="E23" s="445">
        <v>0</v>
      </c>
      <c r="F23" s="448">
        <v>0</v>
      </c>
      <c r="G23" s="443">
        <v>0</v>
      </c>
      <c r="H23" s="444">
        <v>16336.69</v>
      </c>
    </row>
    <row r="24" spans="1:8" x14ac:dyDescent="0.2">
      <c r="A24" s="453">
        <v>810200</v>
      </c>
      <c r="B24" s="427" t="s">
        <v>94</v>
      </c>
      <c r="C24" s="429" t="s">
        <v>102</v>
      </c>
      <c r="D24" s="437" t="s">
        <v>6</v>
      </c>
      <c r="E24" s="454">
        <v>321.92</v>
      </c>
      <c r="F24" s="454">
        <v>47.12</v>
      </c>
      <c r="G24" s="439">
        <v>15168.87</v>
      </c>
      <c r="H24" s="438"/>
    </row>
    <row r="25" spans="1:8" ht="23.25" thickBot="1" x14ac:dyDescent="0.25">
      <c r="A25" s="453">
        <v>810700</v>
      </c>
      <c r="B25" s="427" t="s">
        <v>94</v>
      </c>
      <c r="C25" s="429" t="s">
        <v>103</v>
      </c>
      <c r="D25" s="437" t="s">
        <v>6</v>
      </c>
      <c r="E25" s="454">
        <v>31.2</v>
      </c>
      <c r="F25" s="454">
        <v>37.43</v>
      </c>
      <c r="G25" s="439">
        <v>1167.82</v>
      </c>
      <c r="H25" s="438"/>
    </row>
    <row r="26" spans="1:8" ht="12" thickBot="1" x14ac:dyDescent="0.25">
      <c r="A26" s="481" t="s">
        <v>98</v>
      </c>
      <c r="B26" s="430"/>
      <c r="C26" s="624" t="s">
        <v>201</v>
      </c>
      <c r="D26" s="448" t="s">
        <v>187</v>
      </c>
      <c r="E26" s="445">
        <v>0</v>
      </c>
      <c r="F26" s="448">
        <v>0</v>
      </c>
      <c r="G26" s="443">
        <v>0</v>
      </c>
      <c r="H26" s="444">
        <v>60221.68</v>
      </c>
    </row>
    <row r="27" spans="1:8" ht="22.5" x14ac:dyDescent="0.2">
      <c r="A27" s="451" t="s">
        <v>473</v>
      </c>
      <c r="B27" s="428" t="s">
        <v>217</v>
      </c>
      <c r="C27" s="429" t="s">
        <v>93</v>
      </c>
      <c r="D27" s="437" t="s">
        <v>5</v>
      </c>
      <c r="E27" s="454">
        <v>1037.2</v>
      </c>
      <c r="F27" s="454">
        <v>2.92</v>
      </c>
      <c r="G27" s="439">
        <v>3028.62</v>
      </c>
      <c r="H27" s="438"/>
    </row>
    <row r="28" spans="1:8" x14ac:dyDescent="0.2">
      <c r="A28" s="451" t="s">
        <v>474</v>
      </c>
      <c r="B28" s="428" t="s">
        <v>94</v>
      </c>
      <c r="C28" s="429" t="s">
        <v>104</v>
      </c>
      <c r="D28" s="437" t="s">
        <v>5</v>
      </c>
      <c r="E28" s="454">
        <v>588.6</v>
      </c>
      <c r="F28" s="454">
        <v>31.87</v>
      </c>
      <c r="G28" s="439">
        <v>18758.68</v>
      </c>
      <c r="H28" s="438"/>
    </row>
    <row r="29" spans="1:8" x14ac:dyDescent="0.2">
      <c r="A29" s="451" t="s">
        <v>475</v>
      </c>
      <c r="B29" s="428" t="s">
        <v>94</v>
      </c>
      <c r="C29" s="429" t="s">
        <v>188</v>
      </c>
      <c r="D29" s="437" t="s">
        <v>5</v>
      </c>
      <c r="E29" s="454">
        <v>588.78</v>
      </c>
      <c r="F29" s="454">
        <v>43.46</v>
      </c>
      <c r="G29" s="439">
        <v>25588.38</v>
      </c>
      <c r="H29" s="438"/>
    </row>
    <row r="30" spans="1:8" x14ac:dyDescent="0.2">
      <c r="A30" s="451">
        <v>98511</v>
      </c>
      <c r="B30" s="428" t="s">
        <v>217</v>
      </c>
      <c r="C30" s="429" t="s">
        <v>375</v>
      </c>
      <c r="D30" s="437" t="s">
        <v>8</v>
      </c>
      <c r="E30" s="454">
        <v>32</v>
      </c>
      <c r="F30" s="454">
        <v>111.62</v>
      </c>
      <c r="G30" s="439">
        <v>3571.84</v>
      </c>
      <c r="H30" s="438"/>
    </row>
    <row r="31" spans="1:8" x14ac:dyDescent="0.2">
      <c r="A31" s="451">
        <v>98504</v>
      </c>
      <c r="B31" s="428" t="s">
        <v>217</v>
      </c>
      <c r="C31" s="429" t="s">
        <v>166</v>
      </c>
      <c r="D31" s="437" t="s">
        <v>5</v>
      </c>
      <c r="E31" s="454">
        <v>417.82</v>
      </c>
      <c r="F31" s="454">
        <v>12.68</v>
      </c>
      <c r="G31" s="439">
        <v>5297.96</v>
      </c>
      <c r="H31" s="438"/>
    </row>
    <row r="32" spans="1:8" ht="12" thickBot="1" x14ac:dyDescent="0.25">
      <c r="A32" s="451" t="s">
        <v>416</v>
      </c>
      <c r="B32" s="428" t="s">
        <v>94</v>
      </c>
      <c r="C32" s="429" t="s">
        <v>105</v>
      </c>
      <c r="D32" s="437" t="s">
        <v>8</v>
      </c>
      <c r="E32" s="454">
        <v>6</v>
      </c>
      <c r="F32" s="454">
        <v>662.7</v>
      </c>
      <c r="G32" s="439">
        <v>3976.2</v>
      </c>
      <c r="H32" s="438"/>
    </row>
    <row r="33" spans="1:8" ht="12" thickBot="1" x14ac:dyDescent="0.25">
      <c r="A33" s="481" t="s">
        <v>153</v>
      </c>
      <c r="B33" s="430"/>
      <c r="C33" s="624" t="s">
        <v>161</v>
      </c>
      <c r="D33" s="448" t="s">
        <v>187</v>
      </c>
      <c r="E33" s="445">
        <v>0</v>
      </c>
      <c r="F33" s="448">
        <v>0</v>
      </c>
      <c r="G33" s="443">
        <v>0</v>
      </c>
      <c r="H33" s="444">
        <v>3944.64</v>
      </c>
    </row>
    <row r="34" spans="1:8" ht="22.5" x14ac:dyDescent="0.2">
      <c r="A34" s="451">
        <v>822000</v>
      </c>
      <c r="B34" s="428" t="s">
        <v>94</v>
      </c>
      <c r="C34" s="429" t="s">
        <v>167</v>
      </c>
      <c r="D34" s="437" t="s">
        <v>5</v>
      </c>
      <c r="E34" s="454">
        <v>34.200000000000003</v>
      </c>
      <c r="F34" s="454">
        <v>41.48</v>
      </c>
      <c r="G34" s="439">
        <v>1418.62</v>
      </c>
      <c r="H34" s="438"/>
    </row>
    <row r="35" spans="1:8" ht="22.5" x14ac:dyDescent="0.2">
      <c r="A35" s="451" t="s">
        <v>108</v>
      </c>
      <c r="B35" s="428" t="s">
        <v>94</v>
      </c>
      <c r="C35" s="429" t="s">
        <v>106</v>
      </c>
      <c r="D35" s="437" t="s">
        <v>8</v>
      </c>
      <c r="E35" s="454">
        <v>2</v>
      </c>
      <c r="F35" s="454">
        <v>593.78</v>
      </c>
      <c r="G35" s="439">
        <v>1187.56</v>
      </c>
      <c r="H35" s="438"/>
    </row>
    <row r="36" spans="1:8" ht="23.25" thickBot="1" x14ac:dyDescent="0.25">
      <c r="A36" s="451" t="s">
        <v>109</v>
      </c>
      <c r="B36" s="428" t="s">
        <v>94</v>
      </c>
      <c r="C36" s="429" t="s">
        <v>107</v>
      </c>
      <c r="D36" s="437" t="s">
        <v>8</v>
      </c>
      <c r="E36" s="454">
        <v>2</v>
      </c>
      <c r="F36" s="454">
        <v>669.23</v>
      </c>
      <c r="G36" s="439">
        <v>1338.46</v>
      </c>
      <c r="H36" s="438"/>
    </row>
    <row r="37" spans="1:8" ht="12" thickBot="1" x14ac:dyDescent="0.25">
      <c r="A37" s="481" t="s">
        <v>165</v>
      </c>
      <c r="B37" s="430"/>
      <c r="C37" s="624" t="s">
        <v>157</v>
      </c>
      <c r="D37" s="448" t="s">
        <v>187</v>
      </c>
      <c r="E37" s="445">
        <v>0</v>
      </c>
      <c r="F37" s="448">
        <v>0</v>
      </c>
      <c r="G37" s="443">
        <v>0</v>
      </c>
      <c r="H37" s="444">
        <v>55483.579999999994</v>
      </c>
    </row>
    <row r="38" spans="1:8" x14ac:dyDescent="0.2">
      <c r="A38" s="451">
        <v>600300</v>
      </c>
      <c r="B38" s="428" t="s">
        <v>94</v>
      </c>
      <c r="C38" s="429" t="s">
        <v>111</v>
      </c>
      <c r="D38" s="437" t="s">
        <v>3</v>
      </c>
      <c r="E38" s="454">
        <v>321.27999999999997</v>
      </c>
      <c r="F38" s="454">
        <v>14.96</v>
      </c>
      <c r="G38" s="439">
        <v>4806.3500000000004</v>
      </c>
      <c r="H38" s="438"/>
    </row>
    <row r="39" spans="1:8" x14ac:dyDescent="0.2">
      <c r="A39" s="451" t="s">
        <v>417</v>
      </c>
      <c r="B39" s="428" t="s">
        <v>94</v>
      </c>
      <c r="C39" s="429" t="s">
        <v>376</v>
      </c>
      <c r="D39" s="437" t="s">
        <v>3</v>
      </c>
      <c r="E39" s="454">
        <v>82.39</v>
      </c>
      <c r="F39" s="454">
        <v>34.51</v>
      </c>
      <c r="G39" s="439">
        <v>2843.28</v>
      </c>
      <c r="H39" s="438"/>
    </row>
    <row r="40" spans="1:8" x14ac:dyDescent="0.2">
      <c r="A40" s="451" t="s">
        <v>418</v>
      </c>
      <c r="B40" s="428" t="s">
        <v>94</v>
      </c>
      <c r="C40" s="429" t="s">
        <v>112</v>
      </c>
      <c r="D40" s="437" t="s">
        <v>3</v>
      </c>
      <c r="E40" s="454">
        <v>192.23</v>
      </c>
      <c r="F40" s="454">
        <v>17.25</v>
      </c>
      <c r="G40" s="439">
        <v>3315.97</v>
      </c>
      <c r="H40" s="438"/>
    </row>
    <row r="41" spans="1:8" x14ac:dyDescent="0.2">
      <c r="A41" s="451" t="s">
        <v>419</v>
      </c>
      <c r="B41" s="428" t="s">
        <v>94</v>
      </c>
      <c r="C41" s="429" t="s">
        <v>113</v>
      </c>
      <c r="D41" s="437" t="s">
        <v>6</v>
      </c>
      <c r="E41" s="454">
        <v>16</v>
      </c>
      <c r="F41" s="454">
        <v>103.13</v>
      </c>
      <c r="G41" s="439">
        <v>1650.08</v>
      </c>
      <c r="H41" s="438"/>
    </row>
    <row r="42" spans="1:8" x14ac:dyDescent="0.2">
      <c r="A42" s="451" t="s">
        <v>420</v>
      </c>
      <c r="B42" s="428" t="s">
        <v>94</v>
      </c>
      <c r="C42" s="429" t="s">
        <v>114</v>
      </c>
      <c r="D42" s="437" t="s">
        <v>6</v>
      </c>
      <c r="E42" s="454">
        <v>158</v>
      </c>
      <c r="F42" s="454">
        <v>185.27</v>
      </c>
      <c r="G42" s="439">
        <v>29272.66</v>
      </c>
      <c r="H42" s="438"/>
    </row>
    <row r="43" spans="1:8" x14ac:dyDescent="0.2">
      <c r="A43" s="451" t="s">
        <v>9</v>
      </c>
      <c r="B43" s="428" t="s">
        <v>94</v>
      </c>
      <c r="C43" s="429" t="s">
        <v>27</v>
      </c>
      <c r="D43" s="437" t="s">
        <v>8</v>
      </c>
      <c r="E43" s="454">
        <v>4</v>
      </c>
      <c r="F43" s="454">
        <v>2070.59</v>
      </c>
      <c r="G43" s="439">
        <v>8282.36</v>
      </c>
      <c r="H43" s="438"/>
    </row>
    <row r="44" spans="1:8" x14ac:dyDescent="0.2">
      <c r="A44" s="451" t="s">
        <v>10</v>
      </c>
      <c r="B44" s="428" t="s">
        <v>94</v>
      </c>
      <c r="C44" s="429" t="s">
        <v>42</v>
      </c>
      <c r="D44" s="437" t="s">
        <v>8</v>
      </c>
      <c r="E44" s="454">
        <v>2</v>
      </c>
      <c r="F44" s="454">
        <v>989.89</v>
      </c>
      <c r="G44" s="439">
        <v>1979.78</v>
      </c>
      <c r="H44" s="438"/>
    </row>
    <row r="45" spans="1:8" ht="12" thickBot="1" x14ac:dyDescent="0.25">
      <c r="A45" s="451" t="s">
        <v>55</v>
      </c>
      <c r="B45" s="428" t="s">
        <v>94</v>
      </c>
      <c r="C45" s="429" t="s">
        <v>57</v>
      </c>
      <c r="D45" s="437" t="s">
        <v>8</v>
      </c>
      <c r="E45" s="454">
        <v>1</v>
      </c>
      <c r="F45" s="454">
        <v>3333.1</v>
      </c>
      <c r="G45" s="439">
        <v>3333.1</v>
      </c>
      <c r="H45" s="438"/>
    </row>
    <row r="46" spans="1:8" ht="57" thickBot="1" x14ac:dyDescent="0.25">
      <c r="A46" s="481" t="s">
        <v>172</v>
      </c>
      <c r="B46" s="430"/>
      <c r="C46" s="624" t="s">
        <v>186</v>
      </c>
      <c r="D46" s="448" t="s">
        <v>187</v>
      </c>
      <c r="E46" s="445">
        <v>0</v>
      </c>
      <c r="F46" s="448">
        <v>0</v>
      </c>
      <c r="G46" s="443">
        <v>0</v>
      </c>
      <c r="H46" s="444">
        <v>8024.18</v>
      </c>
    </row>
    <row r="47" spans="1:8" ht="22.5" x14ac:dyDescent="0.2">
      <c r="A47" s="451" t="s">
        <v>191</v>
      </c>
      <c r="B47" s="428" t="s">
        <v>185</v>
      </c>
      <c r="C47" s="429" t="s">
        <v>173</v>
      </c>
      <c r="D47" s="437" t="s">
        <v>8</v>
      </c>
      <c r="E47" s="454"/>
      <c r="F47" s="454">
        <v>0</v>
      </c>
      <c r="G47" s="439">
        <v>0</v>
      </c>
      <c r="H47" s="438"/>
    </row>
    <row r="48" spans="1:8" ht="22.5" x14ac:dyDescent="0.2">
      <c r="A48" s="451" t="s">
        <v>191</v>
      </c>
      <c r="B48" s="428" t="s">
        <v>185</v>
      </c>
      <c r="C48" s="429" t="s">
        <v>174</v>
      </c>
      <c r="D48" s="437" t="s">
        <v>8</v>
      </c>
      <c r="E48" s="454">
        <v>2</v>
      </c>
      <c r="F48" s="454">
        <v>140.6</v>
      </c>
      <c r="G48" s="439">
        <v>281.2</v>
      </c>
      <c r="H48" s="438"/>
    </row>
    <row r="49" spans="1:8" ht="22.5" x14ac:dyDescent="0.2">
      <c r="A49" s="451" t="s">
        <v>191</v>
      </c>
      <c r="B49" s="428" t="s">
        <v>185</v>
      </c>
      <c r="C49" s="429" t="s">
        <v>175</v>
      </c>
      <c r="D49" s="437" t="s">
        <v>8</v>
      </c>
      <c r="E49" s="454">
        <v>2</v>
      </c>
      <c r="F49" s="454">
        <v>140.6</v>
      </c>
      <c r="G49" s="439">
        <v>281.2</v>
      </c>
      <c r="H49" s="438"/>
    </row>
    <row r="50" spans="1:8" x14ac:dyDescent="0.2">
      <c r="A50" s="451" t="s">
        <v>192</v>
      </c>
      <c r="B50" s="428" t="s">
        <v>185</v>
      </c>
      <c r="C50" s="429" t="s">
        <v>176</v>
      </c>
      <c r="D50" s="437" t="s">
        <v>8</v>
      </c>
      <c r="E50" s="454">
        <v>2</v>
      </c>
      <c r="F50" s="454">
        <v>143.35</v>
      </c>
      <c r="G50" s="439">
        <v>286.7</v>
      </c>
      <c r="H50" s="438"/>
    </row>
    <row r="51" spans="1:8" x14ac:dyDescent="0.2">
      <c r="A51" s="451" t="s">
        <v>177</v>
      </c>
      <c r="B51" s="428" t="s">
        <v>193</v>
      </c>
      <c r="C51" s="431" t="s">
        <v>178</v>
      </c>
      <c r="D51" s="437" t="s">
        <v>8</v>
      </c>
      <c r="E51" s="454">
        <v>4</v>
      </c>
      <c r="F51" s="454">
        <v>94.52</v>
      </c>
      <c r="G51" s="439">
        <v>378.08</v>
      </c>
      <c r="H51" s="438"/>
    </row>
    <row r="52" spans="1:8" x14ac:dyDescent="0.2">
      <c r="A52" s="451" t="s">
        <v>218</v>
      </c>
      <c r="B52" s="428" t="s">
        <v>185</v>
      </c>
      <c r="C52" s="431" t="s">
        <v>179</v>
      </c>
      <c r="D52" s="437" t="s">
        <v>8</v>
      </c>
      <c r="E52" s="454">
        <v>2</v>
      </c>
      <c r="F52" s="454">
        <v>170.26</v>
      </c>
      <c r="G52" s="439">
        <v>340.52</v>
      </c>
      <c r="H52" s="438"/>
    </row>
    <row r="53" spans="1:8" x14ac:dyDescent="0.2">
      <c r="A53" s="451" t="s">
        <v>180</v>
      </c>
      <c r="B53" s="428" t="s">
        <v>193</v>
      </c>
      <c r="C53" s="429" t="s">
        <v>181</v>
      </c>
      <c r="D53" s="437" t="s">
        <v>8</v>
      </c>
      <c r="E53" s="454">
        <v>2</v>
      </c>
      <c r="F53" s="454">
        <v>99.6</v>
      </c>
      <c r="G53" s="439">
        <v>199.2</v>
      </c>
      <c r="H53" s="438"/>
    </row>
    <row r="54" spans="1:8" x14ac:dyDescent="0.2">
      <c r="A54" s="451" t="s">
        <v>182</v>
      </c>
      <c r="B54" s="428" t="s">
        <v>193</v>
      </c>
      <c r="C54" s="429" t="s">
        <v>183</v>
      </c>
      <c r="D54" s="437" t="s">
        <v>8</v>
      </c>
      <c r="E54" s="454">
        <v>2</v>
      </c>
      <c r="F54" s="454">
        <v>81.16</v>
      </c>
      <c r="G54" s="439">
        <v>162.32</v>
      </c>
      <c r="H54" s="438"/>
    </row>
    <row r="55" spans="1:8" ht="22.5" x14ac:dyDescent="0.2">
      <c r="A55" s="455" t="s">
        <v>195</v>
      </c>
      <c r="B55" s="428" t="s">
        <v>185</v>
      </c>
      <c r="C55" s="429" t="s">
        <v>477</v>
      </c>
      <c r="D55" s="437" t="s">
        <v>8</v>
      </c>
      <c r="E55" s="454">
        <v>2</v>
      </c>
      <c r="F55" s="454">
        <v>132.75</v>
      </c>
      <c r="G55" s="439">
        <v>265.5</v>
      </c>
      <c r="H55" s="438"/>
    </row>
    <row r="56" spans="1:8" ht="23.25" thickBot="1" x14ac:dyDescent="0.25">
      <c r="A56" s="451" t="s">
        <v>194</v>
      </c>
      <c r="B56" s="428" t="s">
        <v>185</v>
      </c>
      <c r="C56" s="429" t="s">
        <v>478</v>
      </c>
      <c r="D56" s="437" t="s">
        <v>184</v>
      </c>
      <c r="E56" s="454">
        <v>1</v>
      </c>
      <c r="F56" s="454">
        <v>5829.46</v>
      </c>
      <c r="G56" s="439">
        <v>5829.46</v>
      </c>
      <c r="H56" s="438"/>
    </row>
    <row r="57" spans="1:8" ht="12" thickBot="1" x14ac:dyDescent="0.25">
      <c r="A57" s="627" t="s">
        <v>78</v>
      </c>
      <c r="B57" s="441"/>
      <c r="C57" s="493" t="s">
        <v>169</v>
      </c>
      <c r="D57" s="442"/>
      <c r="E57" s="446"/>
      <c r="F57" s="447"/>
      <c r="G57" s="444">
        <v>295323.66000000009</v>
      </c>
      <c r="H57" s="444">
        <v>295323.66000000003</v>
      </c>
    </row>
    <row r="61" spans="1:8" x14ac:dyDescent="0.2">
      <c r="C61" s="495" t="s">
        <v>88</v>
      </c>
    </row>
    <row r="62" spans="1:8" x14ac:dyDescent="0.2">
      <c r="C62" s="495"/>
    </row>
    <row r="70" spans="3:3" x14ac:dyDescent="0.2">
      <c r="C70" s="480" t="s">
        <v>414</v>
      </c>
    </row>
  </sheetData>
  <autoFilter ref="A6:H56" xr:uid="{00000000-0001-0000-0300-000000000000}"/>
  <phoneticPr fontId="0" type="noConversion"/>
  <printOptions horizontalCentered="1"/>
  <pageMargins left="0.39370078740157483" right="0.39370078740157483" top="0.74" bottom="0.39370078740157483" header="0.31496062992125984" footer="0.51181102362204722"/>
  <pageSetup paperSize="9" scale="84" fitToHeight="0" orientation="portrait" r:id="rId1"/>
  <headerFooter alignWithMargins="0">
    <oddHeader>&amp;C&amp;"Arial,Negrito"&amp;12&amp;F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base_cron_sfm</vt:lpstr>
      <vt:lpstr>_base_cron_fp</vt:lpstr>
      <vt:lpstr>_prazos</vt:lpstr>
      <vt:lpstr>_ligantes</vt:lpstr>
      <vt:lpstr>_dren_comp</vt:lpstr>
      <vt:lpstr>_viab</vt:lpstr>
      <vt:lpstr>_traços</vt:lpstr>
      <vt:lpstr>cronograma SFM</vt:lpstr>
      <vt:lpstr>planilha de serviços</vt:lpstr>
      <vt:lpstr>_base_cron_fp!Area_de_impressao</vt:lpstr>
      <vt:lpstr>_prazos!Area_de_impressao</vt:lpstr>
      <vt:lpstr>_traços!Area_de_impressao</vt:lpstr>
      <vt:lpstr>_viab!Area_de_impressao</vt:lpstr>
      <vt:lpstr>base_cron_sfm!Area_de_impressao</vt:lpstr>
      <vt:lpstr>'cronograma SFM'!Area_de_impressao</vt:lpstr>
      <vt:lpstr>'planilha de serviços'!Area_de_impressao</vt:lpstr>
      <vt:lpstr>'planilha de serviços'!Titulos_de_impressao</vt:lpstr>
    </vt:vector>
  </TitlesOfParts>
  <Company>PARANACIDADE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 José da Costa</dc:creator>
  <cp:lastModifiedBy>Osmar José Ribeiro</cp:lastModifiedBy>
  <cp:lastPrinted>2022-12-15T12:32:29Z</cp:lastPrinted>
  <dcterms:created xsi:type="dcterms:W3CDTF">2008-09-16T14:08:54Z</dcterms:created>
  <dcterms:modified xsi:type="dcterms:W3CDTF">2023-04-26T12:33:59Z</dcterms:modified>
</cp:coreProperties>
</file>